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autoCompressPictures="0"/>
  <workbookProtection workbookAlgorithmName="SHA-512" workbookHashValue="8izKfvJGTGP9hATyQANb2fYWUngNoZV4QzW4YfcnIvuSqqRKo/ACWI2SOLv5W67U2lM0+SGpPSEMewYg6peRFg==" workbookSaltValue="QcV20mxa/I7Mu3YJ+Cu7fA==" workbookSpinCount="100000" lockStructure="1"/>
  <bookViews>
    <workbookView xWindow="0" yWindow="0" windowWidth="10800" windowHeight="6720" tabRatio="561"/>
  </bookViews>
  <sheets>
    <sheet name="Assumptions" sheetId="2" r:id="rId1"/>
    <sheet name="Inventory" sheetId="6" r:id="rId2"/>
    <sheet name="PSLF Projections" sheetId="10" r:id="rId3"/>
    <sheet name="Private Projections" sheetId="9" r:id="rId4"/>
    <sheet name="PSLF Detail" sheetId="1" r:id="rId5"/>
    <sheet name="Private Practice Detail" sheetId="8" r:id="rId6"/>
  </sheets>
  <externalReferences>
    <externalReference r:id="rId7"/>
  </externalReferences>
  <definedNames>
    <definedName name="_xlnm._FilterDatabase" localSheetId="1" hidden="1">Inventory!$A$1:$J$33</definedName>
    <definedName name="Annual_Interest_Rate" localSheetId="5">'Private Practice Detail'!$C$7</definedName>
    <definedName name="Annual_Interest_Rate" localSheetId="3">'Private Projections'!$C$7</definedName>
    <definedName name="Annual_Interest_Rate" localSheetId="2">'PSLF Projections'!$C$7</definedName>
    <definedName name="Annual_Interest_Rate">'PSLF Detail'!$C$7</definedName>
    <definedName name="annualIDR" localSheetId="5">'Private Practice Detail'!$F$122:$AD$122</definedName>
    <definedName name="annualIDR" localSheetId="3">'Private Projections'!$F$122:$AD$122</definedName>
    <definedName name="annualIDR" localSheetId="2">'PSLF Projections'!$F$122:$AD$122</definedName>
    <definedName name="annualIDR">'PSLF Detail'!$F$122:$AD$122</definedName>
    <definedName name="Discretionary_Income" localSheetId="5">'Private Practice Detail'!$F$121:$AD$121</definedName>
    <definedName name="Discretionary_Income" localSheetId="3">'Private Projections'!$F$121:$AD$121</definedName>
    <definedName name="Discretionary_Income" localSheetId="2">'PSLF Projections'!$F$121:$AD$121</definedName>
    <definedName name="Discretionary_Income">'PSLF Detail'!$F$121:$AD$121</definedName>
    <definedName name="IBR15_25YearForgiven" localSheetId="5">'Private Practice Detail'!$AD$97</definedName>
    <definedName name="IBR15_25YearForgiven" localSheetId="3">'Private Projections'!$AD$97</definedName>
    <definedName name="IBR15_25YearForgiven" localSheetId="2">'PSLF Projections'!$AD$97</definedName>
    <definedName name="IBR15_25YearForgiven">'PSLF Detail'!$AD$97</definedName>
    <definedName name="IBR15MonthlyPayment" localSheetId="5">'Private Practice Detail'!$F$96</definedName>
    <definedName name="IBR15MonthlyPayment" localSheetId="3">'Private Projections'!$F$96</definedName>
    <definedName name="IBR15MonthlyPayment" localSheetId="2">'PSLF Projections'!$F$96</definedName>
    <definedName name="IBR15MonthlyPayment">'PSLF Detail'!$F$96</definedName>
    <definedName name="LoanInventory" localSheetId="5">'Private Practice Detail'!$B$1:$D$6</definedName>
    <definedName name="LoanInventory" localSheetId="3">'Private Projections'!$B$1:$D$6</definedName>
    <definedName name="LoanInventory" localSheetId="2">'PSLF Projections'!$B$1:$D$6</definedName>
    <definedName name="LoanInventory">'PSLF Detail'!$B$1:$D$6</definedName>
    <definedName name="PAYE_PSLF" localSheetId="5">'Private Practice Detail'!$O$93</definedName>
    <definedName name="PAYE_PSLF" localSheetId="3">'Private Projections'!$O$93</definedName>
    <definedName name="PAYE_PSLF" localSheetId="2">'PSLF Projections'!$O$93</definedName>
    <definedName name="PAYE_PSLF">'PSLF Detail'!$O$93</definedName>
    <definedName name="PAYE20YearForgiveness" localSheetId="5">'Private Practice Detail'!$Y$93</definedName>
    <definedName name="PAYE20YearForgiveness" localSheetId="3">'Private Projections'!$Y$93</definedName>
    <definedName name="PAYE20YearForgiveness" localSheetId="2">'PSLF Projections'!$Y$93</definedName>
    <definedName name="PAYE20YearForgiveness">'PSLF Detail'!$Y$93</definedName>
    <definedName name="Percentage_Unsub" localSheetId="5">'Private Practice Detail'!$C$28</definedName>
    <definedName name="Percentage_Unsub" localSheetId="3">'Private Projections'!$C$28</definedName>
    <definedName name="Percentage_Unsub" localSheetId="2">'PSLF Projections'!$C$28</definedName>
    <definedName name="Percentage_Unsub">'PSLF Detail'!$C$28</definedName>
    <definedName name="REPAYE_20YearForgiveness" localSheetId="5">'Private Practice Detail'!$Y$126</definedName>
    <definedName name="REPAYE_20YearForgiveness" localSheetId="3">'Private Projections'!$Y$126</definedName>
    <definedName name="REPAYE_20YearForgiveness" localSheetId="2">'PSLF Projections'!$Y$126</definedName>
    <definedName name="REPAYE_20YearForgiveness">'PSLF Detail'!$Y$126</definedName>
    <definedName name="REPAYE_25YearForgiven" localSheetId="5">'Private Practice Detail'!$Y$126</definedName>
    <definedName name="REPAYE_25YearForgiven" localSheetId="3">'Private Projections'!$Y$126</definedName>
    <definedName name="REPAYE_25YearForgiven" localSheetId="2">'PSLF Projections'!$Y$126</definedName>
    <definedName name="REPAYE_25YearForgiven">'PSLF Detail'!$Y$126</definedName>
    <definedName name="REPAYE_PSLF" localSheetId="5">'Private Practice Detail'!$O$126</definedName>
    <definedName name="REPAYE_PSLF" localSheetId="3">'Private Projections'!$O$126</definedName>
    <definedName name="REPAYE_PSLF" localSheetId="2">'PSLF Projections'!$O$126</definedName>
    <definedName name="REPAYE_PSLF">'PSLF Detail'!$O$126</definedName>
    <definedName name="SelectedIDRplan" localSheetId="5">'Private Practice Detail'!$D$10</definedName>
    <definedName name="SelectedIDRplan" localSheetId="3">'Private Projections'!$D$10</definedName>
    <definedName name="SelectedIDRplan" localSheetId="2">'PSLF Projections'!$D$10</definedName>
    <definedName name="SelectedIDRplan">'PSLF Detail'!$D$10</definedName>
    <definedName name="SubRate" localSheetId="5">'Private Practice Detail'!$D$2</definedName>
    <definedName name="SubRate" localSheetId="3">'Private Projections'!$D$2</definedName>
    <definedName name="SubRate" localSheetId="2">'PSLF Projections'!$D$2</definedName>
    <definedName name="SubRate">'PSLF Detail'!$D$2</definedName>
    <definedName name="SubsidizedBalance" localSheetId="5">'Private Practice Detail'!$C$2</definedName>
    <definedName name="SubsidizedBalance" localSheetId="3">'Private Projections'!$C$2</definedName>
    <definedName name="SubsidizedBalance" localSheetId="2">'PSLF Projections'!$C$2</definedName>
    <definedName name="SubsidizedBalance">'PSLF Detail'!$C$2</definedName>
    <definedName name="top" localSheetId="5">'Private Practice Detail'!$D$105</definedName>
    <definedName name="top" localSheetId="3">'Private Projections'!$D$105</definedName>
    <definedName name="top" localSheetId="4">'PSLF Detail'!$D$105</definedName>
    <definedName name="top" localSheetId="2">'PSLF Projections'!$D$105</definedName>
    <definedName name="Total_Balance" localSheetId="5">'Private Practice Detail'!$C$6</definedName>
    <definedName name="Total_Balance" localSheetId="3">'Private Projections'!$C$6</definedName>
    <definedName name="Total_Balance" localSheetId="2">'PSLF Projections'!$C$6</definedName>
    <definedName name="Total_Balance">'PSLF Detail'!$C$6</definedName>
    <definedName name="UnsubRate" localSheetId="5">'Private Practice Detail'!$D$3</definedName>
    <definedName name="UnsubRate" localSheetId="3">'Private Projections'!$D$3</definedName>
    <definedName name="UnsubRate" localSheetId="2">'PSLF Projections'!$D$3</definedName>
    <definedName name="UnsubRate">'PSLF Detail'!$D$3</definedName>
    <definedName name="UnsubsidizedBalance" localSheetId="5">'Private Practice Detail'!$C$3</definedName>
    <definedName name="UnsubsidizedBalance" localSheetId="3">'Private Projections'!$C$3</definedName>
    <definedName name="UnsubsidizedBalance" localSheetId="2">'PSLF Projections'!$C$3</definedName>
    <definedName name="UnsubsidizedBalance">'PSLF Detail'!$C$3</definedName>
    <definedName name="WeightedAverageRate" localSheetId="5">'Private Practice Detail'!$D$6</definedName>
    <definedName name="WeightedAverageRate" localSheetId="3">'Private Projections'!$D$6</definedName>
    <definedName name="WeightedAverageRate" localSheetId="2">'PSLF Projections'!$D$6</definedName>
    <definedName name="WeightedAverageRate">'PSLF Detail'!$D$6</definedName>
  </definedNames>
  <calcPr calcId="152511" concurrentCalc="0"/>
</workbook>
</file>

<file path=xl/calcChain.xml><?xml version="1.0" encoding="utf-8"?>
<calcChain xmlns="http://schemas.openxmlformats.org/spreadsheetml/2006/main">
  <c r="E2" i="1" l="1"/>
  <c r="E3" i="1"/>
  <c r="E6" i="1"/>
  <c r="D6" i="1"/>
  <c r="C7" i="1"/>
  <c r="F109" i="1"/>
  <c r="D81" i="1"/>
  <c r="F96" i="1"/>
  <c r="F84" i="1"/>
  <c r="F85" i="1"/>
  <c r="G83" i="1"/>
  <c r="G96" i="1"/>
  <c r="G84" i="1"/>
  <c r="C109" i="1"/>
  <c r="G85" i="1"/>
  <c r="H83" i="1"/>
  <c r="H96" i="1"/>
  <c r="H84" i="1"/>
  <c r="H85" i="1"/>
  <c r="I83" i="1"/>
  <c r="I96" i="1"/>
  <c r="I84" i="1"/>
  <c r="I85" i="1"/>
  <c r="J83" i="1"/>
  <c r="J96" i="1"/>
  <c r="J84" i="1"/>
  <c r="J85" i="1"/>
  <c r="K83" i="1"/>
  <c r="K96" i="1"/>
  <c r="K84" i="1"/>
  <c r="K85" i="1"/>
  <c r="L83" i="1"/>
  <c r="L96" i="1"/>
  <c r="L84" i="1"/>
  <c r="L85" i="1"/>
  <c r="M83" i="1"/>
  <c r="M96" i="1"/>
  <c r="M84" i="1"/>
  <c r="M85" i="1"/>
  <c r="N83" i="1"/>
  <c r="N96" i="1"/>
  <c r="N84" i="1"/>
  <c r="N85" i="1"/>
  <c r="O83" i="1"/>
  <c r="O96" i="1"/>
  <c r="O84" i="1"/>
  <c r="O85" i="1"/>
  <c r="P83" i="1"/>
  <c r="P96" i="1"/>
  <c r="P84" i="1"/>
  <c r="P85" i="1"/>
  <c r="Q83" i="1"/>
  <c r="Q96" i="1"/>
  <c r="Q84" i="1"/>
  <c r="Q85" i="1"/>
  <c r="R83" i="1"/>
  <c r="R96" i="1"/>
  <c r="R84" i="1"/>
  <c r="R85" i="1"/>
  <c r="S83" i="1"/>
  <c r="S96" i="1"/>
  <c r="S84" i="1"/>
  <c r="S85" i="1"/>
  <c r="T83" i="1"/>
  <c r="T96" i="1"/>
  <c r="T84" i="1"/>
  <c r="T85" i="1"/>
  <c r="U83" i="1"/>
  <c r="U96" i="1"/>
  <c r="U84" i="1"/>
  <c r="U85" i="1"/>
  <c r="V83" i="1"/>
  <c r="V96" i="1"/>
  <c r="V84" i="1"/>
  <c r="V85" i="1"/>
  <c r="W83" i="1"/>
  <c r="W96" i="1"/>
  <c r="W84" i="1"/>
  <c r="W85" i="1"/>
  <c r="X83" i="1"/>
  <c r="X96" i="1"/>
  <c r="X84" i="1"/>
  <c r="X85" i="1"/>
  <c r="Y83" i="1"/>
  <c r="Y96" i="1"/>
  <c r="Y84" i="1"/>
  <c r="Y85" i="1"/>
  <c r="Z83" i="1"/>
  <c r="Z96" i="1"/>
  <c r="Z84" i="1"/>
  <c r="Z85" i="1"/>
  <c r="AA83" i="1"/>
  <c r="AA96" i="1"/>
  <c r="AA84" i="1"/>
  <c r="AA85" i="1"/>
  <c r="AB83" i="1"/>
  <c r="AB96" i="1"/>
  <c r="AB84" i="1"/>
  <c r="AB85" i="1"/>
  <c r="AC83" i="1"/>
  <c r="AC96" i="1"/>
  <c r="AC84" i="1"/>
  <c r="AC85" i="1"/>
  <c r="AD83" i="1"/>
  <c r="AD96" i="1"/>
  <c r="AD84" i="1"/>
  <c r="AD85" i="1"/>
  <c r="AD82" i="1"/>
  <c r="AD134" i="1"/>
  <c r="AD135" i="1"/>
  <c r="AC82" i="1"/>
  <c r="AC134" i="1"/>
  <c r="AC135" i="1"/>
  <c r="AB82" i="1"/>
  <c r="AB134" i="1"/>
  <c r="AB135" i="1"/>
  <c r="AA82" i="1"/>
  <c r="AA134" i="1"/>
  <c r="AA135" i="1"/>
  <c r="Z82" i="1"/>
  <c r="Z134" i="1"/>
  <c r="Z135" i="1"/>
  <c r="Y82" i="1"/>
  <c r="Y134" i="1"/>
  <c r="Y135" i="1"/>
  <c r="X82" i="1"/>
  <c r="X134" i="1"/>
  <c r="X135" i="1"/>
  <c r="W82" i="1"/>
  <c r="W134" i="1"/>
  <c r="W135" i="1"/>
  <c r="V82" i="1"/>
  <c r="V134" i="1"/>
  <c r="V135" i="1"/>
  <c r="U82" i="1"/>
  <c r="U134" i="1"/>
  <c r="U135" i="1"/>
  <c r="T82" i="1"/>
  <c r="T134" i="1"/>
  <c r="T135" i="1"/>
  <c r="S82" i="1"/>
  <c r="S134" i="1"/>
  <c r="S135" i="1"/>
  <c r="R82" i="1"/>
  <c r="R134" i="1"/>
  <c r="R135" i="1"/>
  <c r="Q82" i="1"/>
  <c r="Q134" i="1"/>
  <c r="Q135" i="1"/>
  <c r="P82" i="1"/>
  <c r="P134" i="1"/>
  <c r="P135" i="1"/>
  <c r="O82" i="1"/>
  <c r="O134" i="1"/>
  <c r="O135" i="1"/>
  <c r="N82" i="1"/>
  <c r="N134" i="1"/>
  <c r="N135" i="1"/>
  <c r="M82" i="1"/>
  <c r="M134" i="1"/>
  <c r="M135" i="1"/>
  <c r="L82" i="1"/>
  <c r="L134" i="1"/>
  <c r="L135" i="1"/>
  <c r="K82" i="1"/>
  <c r="K134" i="1"/>
  <c r="K135" i="1"/>
  <c r="J82" i="1"/>
  <c r="J134" i="1"/>
  <c r="J135" i="1"/>
  <c r="I82" i="1"/>
  <c r="I134" i="1"/>
  <c r="I135" i="1"/>
  <c r="H82" i="1"/>
  <c r="H134" i="1"/>
  <c r="H135" i="1"/>
  <c r="G82" i="1"/>
  <c r="G134" i="1"/>
  <c r="G135" i="1"/>
  <c r="F82" i="1"/>
  <c r="F134" i="1"/>
  <c r="F135" i="1"/>
  <c r="AD133" i="1"/>
  <c r="AC133" i="1"/>
  <c r="AB133" i="1"/>
  <c r="AA133" i="1"/>
  <c r="Z133" i="1"/>
  <c r="Y133" i="1"/>
  <c r="X133" i="1"/>
  <c r="W133" i="1"/>
  <c r="V133" i="1"/>
  <c r="U133" i="1"/>
  <c r="T133" i="1"/>
  <c r="S133" i="1"/>
  <c r="R133" i="1"/>
  <c r="Q133" i="1"/>
  <c r="P133" i="1"/>
  <c r="O133" i="1"/>
  <c r="N133" i="1"/>
  <c r="M133" i="1"/>
  <c r="L133" i="1"/>
  <c r="K133" i="1"/>
  <c r="J133" i="1"/>
  <c r="I133" i="1"/>
  <c r="H133" i="1"/>
  <c r="G133" i="1"/>
  <c r="F133" i="1"/>
  <c r="AD132" i="1"/>
  <c r="AC132" i="1"/>
  <c r="AB132" i="1"/>
  <c r="AA132" i="1"/>
  <c r="Z132" i="1"/>
  <c r="Y132" i="1"/>
  <c r="X132" i="1"/>
  <c r="W132" i="1"/>
  <c r="V132" i="1"/>
  <c r="U132" i="1"/>
  <c r="T132" i="1"/>
  <c r="S132" i="1"/>
  <c r="R132" i="1"/>
  <c r="Q132" i="1"/>
  <c r="P132" i="1"/>
  <c r="O132" i="1"/>
  <c r="N132" i="1"/>
  <c r="M132" i="1"/>
  <c r="L132" i="1"/>
  <c r="K132" i="1"/>
  <c r="J132" i="1"/>
  <c r="I132" i="1"/>
  <c r="H132" i="1"/>
  <c r="G132" i="1"/>
  <c r="F132" i="1"/>
  <c r="AD131" i="1"/>
  <c r="AC131" i="1"/>
  <c r="AB131" i="1"/>
  <c r="AA131" i="1"/>
  <c r="Z131" i="1"/>
  <c r="Y131" i="1"/>
  <c r="X131" i="1"/>
  <c r="W131" i="1"/>
  <c r="V131" i="1"/>
  <c r="U131" i="1"/>
  <c r="T131" i="1"/>
  <c r="S131" i="1"/>
  <c r="R131" i="1"/>
  <c r="Q131" i="1"/>
  <c r="P131" i="1"/>
  <c r="O131" i="1"/>
  <c r="N131" i="1"/>
  <c r="M131" i="1"/>
  <c r="L131" i="1"/>
  <c r="K131" i="1"/>
  <c r="J131" i="1"/>
  <c r="I131" i="1"/>
  <c r="H131" i="1"/>
  <c r="G131" i="1"/>
  <c r="F131" i="1"/>
  <c r="E2" i="8"/>
  <c r="E3" i="8"/>
  <c r="E4" i="8"/>
  <c r="E6" i="8"/>
  <c r="C6" i="8"/>
  <c r="D6" i="8"/>
  <c r="C7" i="8"/>
  <c r="F109" i="8"/>
  <c r="F108" i="8"/>
  <c r="F132" i="8"/>
  <c r="F76" i="8"/>
  <c r="F131" i="8"/>
  <c r="F133" i="8"/>
  <c r="G109" i="8"/>
  <c r="G108" i="8"/>
  <c r="G132" i="8"/>
  <c r="G53" i="8"/>
  <c r="G52" i="8"/>
  <c r="G76" i="8"/>
  <c r="G131" i="8"/>
  <c r="G133" i="8"/>
  <c r="H109" i="8"/>
  <c r="H108" i="8"/>
  <c r="H132" i="8"/>
  <c r="H53" i="8"/>
  <c r="H76" i="8"/>
  <c r="H131" i="8"/>
  <c r="H133" i="8"/>
  <c r="I109" i="8"/>
  <c r="I108" i="8"/>
  <c r="I132" i="8"/>
  <c r="I76" i="8"/>
  <c r="I131" i="8"/>
  <c r="I133" i="8"/>
  <c r="J109" i="8"/>
  <c r="J108" i="8"/>
  <c r="J132" i="8"/>
  <c r="J75" i="8"/>
  <c r="J76" i="8"/>
  <c r="J131" i="8"/>
  <c r="J133" i="8"/>
  <c r="K109" i="8"/>
  <c r="K108" i="8"/>
  <c r="K132" i="8"/>
  <c r="K75" i="8"/>
  <c r="K76" i="8"/>
  <c r="K131" i="8"/>
  <c r="K133" i="8"/>
  <c r="L109" i="8"/>
  <c r="L108" i="8"/>
  <c r="L132" i="8"/>
  <c r="L76" i="8"/>
  <c r="L131" i="8"/>
  <c r="L133" i="8"/>
  <c r="M109" i="8"/>
  <c r="M108" i="8"/>
  <c r="M132" i="8"/>
  <c r="M75" i="8"/>
  <c r="M76" i="8"/>
  <c r="M131" i="8"/>
  <c r="M133" i="8"/>
  <c r="N109" i="8"/>
  <c r="N108" i="8"/>
  <c r="N132" i="8"/>
  <c r="N75" i="8"/>
  <c r="N76" i="8"/>
  <c r="N131" i="8"/>
  <c r="N133" i="8"/>
  <c r="O109" i="8"/>
  <c r="O108" i="8"/>
  <c r="O132" i="8"/>
  <c r="O75" i="8"/>
  <c r="O76" i="8"/>
  <c r="O131" i="8"/>
  <c r="O133" i="8"/>
  <c r="P75" i="8"/>
  <c r="P76" i="8"/>
  <c r="P131" i="8"/>
  <c r="P132" i="8"/>
  <c r="P133" i="8"/>
  <c r="Q75" i="8"/>
  <c r="Q76" i="8"/>
  <c r="Q131" i="8"/>
  <c r="Q132" i="8"/>
  <c r="Q133" i="8"/>
  <c r="R75" i="8"/>
  <c r="R76" i="8"/>
  <c r="R131" i="8"/>
  <c r="R132" i="8"/>
  <c r="R133" i="8"/>
  <c r="S75" i="8"/>
  <c r="S76" i="8"/>
  <c r="S131" i="8"/>
  <c r="S132" i="8"/>
  <c r="S133" i="8"/>
  <c r="T75" i="8"/>
  <c r="T76" i="8"/>
  <c r="T131" i="8"/>
  <c r="T132" i="8"/>
  <c r="T133" i="8"/>
  <c r="U75" i="8"/>
  <c r="U76" i="8"/>
  <c r="U131" i="8"/>
  <c r="U132" i="8"/>
  <c r="U133" i="8"/>
  <c r="V75" i="8"/>
  <c r="V76" i="8"/>
  <c r="V131" i="8"/>
  <c r="V132" i="8"/>
  <c r="V133" i="8"/>
  <c r="W75" i="8"/>
  <c r="W76" i="8"/>
  <c r="W131" i="8"/>
  <c r="W132" i="8"/>
  <c r="W133" i="8"/>
  <c r="X75" i="8"/>
  <c r="X76" i="8"/>
  <c r="X131" i="8"/>
  <c r="X132" i="8"/>
  <c r="X133" i="8"/>
  <c r="Y75" i="8"/>
  <c r="Y76" i="8"/>
  <c r="Y131" i="8"/>
  <c r="Y132" i="8"/>
  <c r="Y133" i="8"/>
  <c r="Z75" i="8"/>
  <c r="Z76" i="8"/>
  <c r="Z131" i="8"/>
  <c r="Z132" i="8"/>
  <c r="Z133" i="8"/>
  <c r="AA75" i="8"/>
  <c r="AA76" i="8"/>
  <c r="AA131" i="8"/>
  <c r="AA132" i="8"/>
  <c r="AA133" i="8"/>
  <c r="AB75" i="8"/>
  <c r="AB76" i="8"/>
  <c r="AB131" i="8"/>
  <c r="AB132" i="8"/>
  <c r="AB133" i="8"/>
  <c r="AC75" i="8"/>
  <c r="AC76" i="8"/>
  <c r="AC131" i="8"/>
  <c r="AC132" i="8"/>
  <c r="AC133" i="8"/>
  <c r="AD75" i="8"/>
  <c r="AD76" i="8"/>
  <c r="AD131" i="8"/>
  <c r="AD132" i="8"/>
  <c r="AD133" i="8"/>
  <c r="AF133" i="8"/>
  <c r="C22" i="8"/>
  <c r="F78" i="8"/>
  <c r="F79" i="8"/>
  <c r="F77" i="8"/>
  <c r="F121" i="8"/>
  <c r="F127" i="8"/>
  <c r="C26" i="8"/>
  <c r="C28" i="8"/>
  <c r="F125" i="8"/>
  <c r="D85" i="8"/>
  <c r="G124" i="8"/>
  <c r="G78" i="8"/>
  <c r="G79" i="8"/>
  <c r="G77" i="8"/>
  <c r="G121" i="8"/>
  <c r="G127" i="8"/>
  <c r="G125" i="8"/>
  <c r="H124" i="8"/>
  <c r="H78" i="8"/>
  <c r="H79" i="8"/>
  <c r="H77" i="8"/>
  <c r="H121" i="8"/>
  <c r="H127" i="8"/>
  <c r="H125" i="8"/>
  <c r="I124" i="8"/>
  <c r="I78" i="8"/>
  <c r="I79" i="8"/>
  <c r="I77" i="8"/>
  <c r="I121" i="8"/>
  <c r="I127" i="8"/>
  <c r="I125" i="8"/>
  <c r="J124" i="8"/>
  <c r="J78" i="8"/>
  <c r="J79" i="8"/>
  <c r="J77" i="8"/>
  <c r="J121" i="8"/>
  <c r="J127" i="8"/>
  <c r="J125" i="8"/>
  <c r="K124" i="8"/>
  <c r="K78" i="8"/>
  <c r="K79" i="8"/>
  <c r="K77" i="8"/>
  <c r="K121" i="8"/>
  <c r="K127" i="8"/>
  <c r="K125" i="8"/>
  <c r="L124" i="8"/>
  <c r="L78" i="8"/>
  <c r="L79" i="8"/>
  <c r="L77" i="8"/>
  <c r="L121" i="8"/>
  <c r="L127" i="8"/>
  <c r="L125" i="8"/>
  <c r="M124" i="8"/>
  <c r="M78" i="8"/>
  <c r="M79" i="8"/>
  <c r="M77" i="8"/>
  <c r="M121" i="8"/>
  <c r="M127" i="8"/>
  <c r="M125" i="8"/>
  <c r="N124" i="8"/>
  <c r="N78" i="8"/>
  <c r="N79" i="8"/>
  <c r="N77" i="8"/>
  <c r="N121" i="8"/>
  <c r="N127" i="8"/>
  <c r="N125" i="8"/>
  <c r="O124" i="8"/>
  <c r="O78" i="8"/>
  <c r="O79" i="8"/>
  <c r="O77" i="8"/>
  <c r="O121" i="8"/>
  <c r="O127" i="8"/>
  <c r="O125" i="8"/>
  <c r="P124" i="8"/>
  <c r="P78" i="8"/>
  <c r="P79" i="8"/>
  <c r="P77" i="8"/>
  <c r="P121" i="8"/>
  <c r="P127" i="8"/>
  <c r="P125" i="8"/>
  <c r="Q124" i="8"/>
  <c r="Q78" i="8"/>
  <c r="Q79" i="8"/>
  <c r="Q77" i="8"/>
  <c r="Q121" i="8"/>
  <c r="Q127" i="8"/>
  <c r="Q125" i="8"/>
  <c r="R124" i="8"/>
  <c r="R78" i="8"/>
  <c r="R79" i="8"/>
  <c r="R77" i="8"/>
  <c r="R121" i="8"/>
  <c r="R127" i="8"/>
  <c r="R125" i="8"/>
  <c r="S124" i="8"/>
  <c r="S78" i="8"/>
  <c r="S79" i="8"/>
  <c r="S77" i="8"/>
  <c r="S121" i="8"/>
  <c r="S127" i="8"/>
  <c r="S125" i="8"/>
  <c r="T124" i="8"/>
  <c r="T78" i="8"/>
  <c r="T79" i="8"/>
  <c r="T77" i="8"/>
  <c r="T121" i="8"/>
  <c r="T127" i="8"/>
  <c r="T125" i="8"/>
  <c r="U124" i="8"/>
  <c r="U78" i="8"/>
  <c r="U79" i="8"/>
  <c r="U77" i="8"/>
  <c r="U121" i="8"/>
  <c r="U127" i="8"/>
  <c r="U125" i="8"/>
  <c r="V124" i="8"/>
  <c r="V78" i="8"/>
  <c r="V79" i="8"/>
  <c r="V77" i="8"/>
  <c r="V121" i="8"/>
  <c r="V127" i="8"/>
  <c r="V125" i="8"/>
  <c r="W124" i="8"/>
  <c r="W78" i="8"/>
  <c r="W79" i="8"/>
  <c r="W77" i="8"/>
  <c r="W121" i="8"/>
  <c r="W127" i="8"/>
  <c r="W125" i="8"/>
  <c r="X124" i="8"/>
  <c r="X78" i="8"/>
  <c r="X79" i="8"/>
  <c r="X77" i="8"/>
  <c r="X121" i="8"/>
  <c r="X127" i="8"/>
  <c r="X125" i="8"/>
  <c r="Y124" i="8"/>
  <c r="Y78" i="8"/>
  <c r="Y79" i="8"/>
  <c r="Y77" i="8"/>
  <c r="Y121" i="8"/>
  <c r="Y127" i="8"/>
  <c r="Y125" i="8"/>
  <c r="Z124" i="8"/>
  <c r="Z78" i="8"/>
  <c r="Z79" i="8"/>
  <c r="Z77" i="8"/>
  <c r="Z121" i="8"/>
  <c r="Z127" i="8"/>
  <c r="Z125" i="8"/>
  <c r="AA124" i="8"/>
  <c r="AA78" i="8"/>
  <c r="AA79" i="8"/>
  <c r="AA77" i="8"/>
  <c r="AA121" i="8"/>
  <c r="AA127" i="8"/>
  <c r="AA125" i="8"/>
  <c r="AB124" i="8"/>
  <c r="AB78" i="8"/>
  <c r="AB79" i="8"/>
  <c r="AB77" i="8"/>
  <c r="AB121" i="8"/>
  <c r="AB127" i="8"/>
  <c r="AB125" i="8"/>
  <c r="AC124" i="8"/>
  <c r="AC78" i="8"/>
  <c r="AC79" i="8"/>
  <c r="AC77" i="8"/>
  <c r="AC121" i="8"/>
  <c r="AC127" i="8"/>
  <c r="AC125" i="8"/>
  <c r="AD124" i="8"/>
  <c r="AD78" i="8"/>
  <c r="AD79" i="8"/>
  <c r="AD77" i="8"/>
  <c r="AD121" i="8"/>
  <c r="AD127" i="8"/>
  <c r="AD125" i="8"/>
  <c r="AD126" i="8"/>
  <c r="D43" i="8"/>
  <c r="AC70" i="8"/>
  <c r="AC71" i="8"/>
  <c r="E43" i="8"/>
  <c r="AE135" i="8"/>
  <c r="AD123" i="8"/>
  <c r="AD135" i="8"/>
  <c r="AD136" i="8"/>
  <c r="F123" i="8"/>
  <c r="F135" i="8"/>
  <c r="F136" i="8"/>
  <c r="G123" i="8"/>
  <c r="G135" i="8"/>
  <c r="G136" i="8"/>
  <c r="H123" i="8"/>
  <c r="H135" i="8"/>
  <c r="H136" i="8"/>
  <c r="I123" i="8"/>
  <c r="I135" i="8"/>
  <c r="I136" i="8"/>
  <c r="J123" i="8"/>
  <c r="J135" i="8"/>
  <c r="J136" i="8"/>
  <c r="K123" i="8"/>
  <c r="K135" i="8"/>
  <c r="K136" i="8"/>
  <c r="L123" i="8"/>
  <c r="L135" i="8"/>
  <c r="L136" i="8"/>
  <c r="M123" i="8"/>
  <c r="M135" i="8"/>
  <c r="M136" i="8"/>
  <c r="N123" i="8"/>
  <c r="N135" i="8"/>
  <c r="N136" i="8"/>
  <c r="O123" i="8"/>
  <c r="O135" i="8"/>
  <c r="O136" i="8"/>
  <c r="P123" i="8"/>
  <c r="P135" i="8"/>
  <c r="P136" i="8"/>
  <c r="Q123" i="8"/>
  <c r="Q135" i="8"/>
  <c r="Q136" i="8"/>
  <c r="R123" i="8"/>
  <c r="R135" i="8"/>
  <c r="R136" i="8"/>
  <c r="S123" i="8"/>
  <c r="S135" i="8"/>
  <c r="S136" i="8"/>
  <c r="T123" i="8"/>
  <c r="T135" i="8"/>
  <c r="T136" i="8"/>
  <c r="U123" i="8"/>
  <c r="U135" i="8"/>
  <c r="U136" i="8"/>
  <c r="V123" i="8"/>
  <c r="V135" i="8"/>
  <c r="V136" i="8"/>
  <c r="W123" i="8"/>
  <c r="W135" i="8"/>
  <c r="W136" i="8"/>
  <c r="X123" i="8"/>
  <c r="X135" i="8"/>
  <c r="X136" i="8"/>
  <c r="Y123" i="8"/>
  <c r="Y135" i="8"/>
  <c r="Y136" i="8"/>
  <c r="Z123" i="8"/>
  <c r="Z135" i="8"/>
  <c r="Z136" i="8"/>
  <c r="AA123" i="8"/>
  <c r="AA135" i="8"/>
  <c r="AA136" i="8"/>
  <c r="AB123" i="8"/>
  <c r="AB135" i="8"/>
  <c r="AB136" i="8"/>
  <c r="AC123" i="8"/>
  <c r="AC135" i="8"/>
  <c r="AC136" i="8"/>
  <c r="AF136" i="8"/>
  <c r="AF138" i="8"/>
  <c r="E2" i="9"/>
  <c r="E3" i="9"/>
  <c r="E6" i="9"/>
  <c r="D6" i="9"/>
  <c r="C7" i="9"/>
  <c r="G115" i="9"/>
  <c r="F115" i="9"/>
  <c r="F116" i="9"/>
  <c r="F117" i="9"/>
  <c r="F118" i="9"/>
  <c r="F119" i="9"/>
  <c r="G116" i="9"/>
  <c r="G117" i="9"/>
  <c r="G118" i="9"/>
  <c r="G119" i="9"/>
  <c r="I115" i="9"/>
  <c r="H115" i="9"/>
  <c r="H116" i="9"/>
  <c r="H117" i="9"/>
  <c r="H118" i="9"/>
  <c r="H119" i="9"/>
  <c r="I116" i="9"/>
  <c r="I117" i="9"/>
  <c r="I118" i="9"/>
  <c r="I119" i="9"/>
  <c r="K115" i="9"/>
  <c r="J115" i="9"/>
  <c r="J116" i="9"/>
  <c r="J117" i="9"/>
  <c r="J118" i="9"/>
  <c r="J119" i="9"/>
  <c r="K116" i="9"/>
  <c r="K117" i="9"/>
  <c r="K118" i="9"/>
  <c r="K119" i="9"/>
  <c r="L115" i="9"/>
  <c r="M115" i="9"/>
  <c r="L116" i="9"/>
  <c r="L117" i="9"/>
  <c r="L118" i="9"/>
  <c r="L119" i="9"/>
  <c r="M116" i="9"/>
  <c r="M117" i="9"/>
  <c r="M118" i="9"/>
  <c r="M119" i="9"/>
  <c r="N115" i="9"/>
  <c r="O115" i="9"/>
  <c r="N116" i="9"/>
  <c r="N117" i="9"/>
  <c r="N118" i="9"/>
  <c r="N119" i="9"/>
  <c r="O116" i="9"/>
  <c r="O117" i="9"/>
  <c r="O118" i="9"/>
  <c r="O119" i="9"/>
  <c r="P115" i="9"/>
  <c r="Q115" i="9"/>
  <c r="P116" i="9"/>
  <c r="P117" i="9"/>
  <c r="P118" i="9"/>
  <c r="P119" i="9"/>
  <c r="Q116" i="9"/>
  <c r="Q117" i="9"/>
  <c r="Q118" i="9"/>
  <c r="Q119" i="9"/>
  <c r="R115" i="9"/>
  <c r="S115" i="9"/>
  <c r="R116" i="9"/>
  <c r="R117" i="9"/>
  <c r="R118" i="9"/>
  <c r="R119" i="9"/>
  <c r="S116" i="9"/>
  <c r="S117" i="9"/>
  <c r="S118" i="9"/>
  <c r="S119" i="9"/>
  <c r="T115" i="9"/>
  <c r="U115" i="9"/>
  <c r="T116" i="9"/>
  <c r="T117" i="9"/>
  <c r="T118" i="9"/>
  <c r="T119" i="9"/>
  <c r="U116" i="9"/>
  <c r="U117" i="9"/>
  <c r="U118" i="9"/>
  <c r="U119" i="9"/>
  <c r="V115" i="9"/>
  <c r="W115" i="9"/>
  <c r="V116" i="9"/>
  <c r="V117" i="9"/>
  <c r="V118" i="9"/>
  <c r="V119" i="9"/>
  <c r="W116" i="9"/>
  <c r="W117" i="9"/>
  <c r="W118" i="9"/>
  <c r="W119" i="9"/>
  <c r="X115" i="9"/>
  <c r="Y115" i="9"/>
  <c r="X116" i="9"/>
  <c r="X117" i="9"/>
  <c r="X118" i="9"/>
  <c r="X119" i="9"/>
  <c r="Y116" i="9"/>
  <c r="Y117" i="9"/>
  <c r="Y118" i="9"/>
  <c r="Y119" i="9"/>
  <c r="Z115" i="9"/>
  <c r="AA115" i="9"/>
  <c r="Z116" i="9"/>
  <c r="Z117" i="9"/>
  <c r="Z118" i="9"/>
  <c r="Z119" i="9"/>
  <c r="AA116" i="9"/>
  <c r="AA117" i="9"/>
  <c r="AA118" i="9"/>
  <c r="AA119" i="9"/>
  <c r="AB115" i="9"/>
  <c r="AC115" i="9"/>
  <c r="AB116" i="9"/>
  <c r="AB117" i="9"/>
  <c r="AB118" i="9"/>
  <c r="AB119" i="9"/>
  <c r="AC116" i="9"/>
  <c r="AC117" i="9"/>
  <c r="AC118" i="9"/>
  <c r="AC119" i="9"/>
  <c r="AD115" i="9"/>
  <c r="AE115" i="9"/>
  <c r="AH115" i="9"/>
  <c r="AH119" i="9"/>
  <c r="AI115" i="9"/>
  <c r="C40" i="9"/>
  <c r="F40" i="9"/>
  <c r="F105" i="9"/>
  <c r="G105" i="9"/>
  <c r="H105" i="9"/>
  <c r="I105" i="9"/>
  <c r="J105" i="9"/>
  <c r="K105" i="9"/>
  <c r="L105" i="9"/>
  <c r="M105" i="9"/>
  <c r="N105" i="9"/>
  <c r="O105" i="9"/>
  <c r="P105" i="9"/>
  <c r="Q105" i="9"/>
  <c r="R105" i="9"/>
  <c r="S105" i="9"/>
  <c r="T105" i="9"/>
  <c r="U105" i="9"/>
  <c r="V105" i="9"/>
  <c r="W105" i="9"/>
  <c r="X105" i="9"/>
  <c r="Y105" i="9"/>
  <c r="Z105" i="9"/>
  <c r="AA105" i="9"/>
  <c r="AB105" i="9"/>
  <c r="AC105" i="9"/>
  <c r="AD105" i="9"/>
  <c r="C38" i="9"/>
  <c r="F38" i="9"/>
  <c r="F109" i="9"/>
  <c r="G109" i="9"/>
  <c r="H109" i="9"/>
  <c r="I109" i="9"/>
  <c r="J109" i="9"/>
  <c r="K109" i="9"/>
  <c r="L109" i="9"/>
  <c r="M109" i="9"/>
  <c r="N109" i="9"/>
  <c r="O109" i="9"/>
  <c r="C37" i="9"/>
  <c r="F37" i="9"/>
  <c r="D81" i="9"/>
  <c r="F78" i="9"/>
  <c r="F79" i="9"/>
  <c r="F77" i="9"/>
  <c r="F121" i="9"/>
  <c r="F96" i="9"/>
  <c r="F82" i="9"/>
  <c r="F84" i="9"/>
  <c r="F85" i="9"/>
  <c r="G83" i="9"/>
  <c r="G78" i="9"/>
  <c r="G79" i="9"/>
  <c r="G77" i="9"/>
  <c r="G121" i="9"/>
  <c r="G96" i="9"/>
  <c r="G84" i="9"/>
  <c r="C109" i="9"/>
  <c r="G85" i="9"/>
  <c r="H83" i="9"/>
  <c r="H78" i="9"/>
  <c r="H79" i="9"/>
  <c r="H77" i="9"/>
  <c r="H121" i="9"/>
  <c r="H96" i="9"/>
  <c r="H84" i="9"/>
  <c r="H85" i="9"/>
  <c r="I83" i="9"/>
  <c r="I78" i="9"/>
  <c r="I79" i="9"/>
  <c r="I77" i="9"/>
  <c r="I121" i="9"/>
  <c r="I96" i="9"/>
  <c r="I84" i="9"/>
  <c r="I85" i="9"/>
  <c r="G82" i="9"/>
  <c r="J83" i="9"/>
  <c r="J78" i="9"/>
  <c r="J79" i="9"/>
  <c r="J77" i="9"/>
  <c r="J121" i="9"/>
  <c r="J96" i="9"/>
  <c r="J84" i="9"/>
  <c r="J85" i="9"/>
  <c r="H82" i="9"/>
  <c r="K83" i="9"/>
  <c r="K78" i="9"/>
  <c r="K79" i="9"/>
  <c r="K77" i="9"/>
  <c r="K121" i="9"/>
  <c r="K96" i="9"/>
  <c r="K84" i="9"/>
  <c r="K85" i="9"/>
  <c r="I82" i="9"/>
  <c r="L83" i="9"/>
  <c r="L78" i="9"/>
  <c r="L79" i="9"/>
  <c r="L77" i="9"/>
  <c r="L121" i="9"/>
  <c r="L96" i="9"/>
  <c r="L84" i="9"/>
  <c r="L85" i="9"/>
  <c r="J82" i="9"/>
  <c r="M83" i="9"/>
  <c r="M78" i="9"/>
  <c r="M79" i="9"/>
  <c r="M77" i="9"/>
  <c r="M121" i="9"/>
  <c r="M96" i="9"/>
  <c r="M84" i="9"/>
  <c r="M85" i="9"/>
  <c r="K82" i="9"/>
  <c r="N83" i="9"/>
  <c r="N78" i="9"/>
  <c r="N79" i="9"/>
  <c r="N77" i="9"/>
  <c r="N121" i="9"/>
  <c r="N96" i="9"/>
  <c r="N84" i="9"/>
  <c r="N85" i="9"/>
  <c r="L82" i="9"/>
  <c r="O83" i="9"/>
  <c r="O78" i="9"/>
  <c r="O79" i="9"/>
  <c r="O77" i="9"/>
  <c r="O121" i="9"/>
  <c r="O96" i="9"/>
  <c r="O84" i="9"/>
  <c r="O85" i="9"/>
  <c r="M82" i="9"/>
  <c r="P83" i="9"/>
  <c r="P78" i="9"/>
  <c r="P79" i="9"/>
  <c r="P77" i="9"/>
  <c r="P121" i="9"/>
  <c r="P96" i="9"/>
  <c r="P84" i="9"/>
  <c r="P85" i="9"/>
  <c r="N82" i="9"/>
  <c r="Q83" i="9"/>
  <c r="Q78" i="9"/>
  <c r="Q79" i="9"/>
  <c r="Q77" i="9"/>
  <c r="Q121" i="9"/>
  <c r="Q96" i="9"/>
  <c r="Q84" i="9"/>
  <c r="Q85" i="9"/>
  <c r="O82" i="9"/>
  <c r="R83" i="9"/>
  <c r="R78" i="9"/>
  <c r="R79" i="9"/>
  <c r="R77" i="9"/>
  <c r="R121" i="9"/>
  <c r="R96" i="9"/>
  <c r="R84" i="9"/>
  <c r="R85" i="9"/>
  <c r="P82" i="9"/>
  <c r="S83" i="9"/>
  <c r="S78" i="9"/>
  <c r="S79" i="9"/>
  <c r="S77" i="9"/>
  <c r="S121" i="9"/>
  <c r="S96" i="9"/>
  <c r="S84" i="9"/>
  <c r="S85" i="9"/>
  <c r="Q82" i="9"/>
  <c r="T83" i="9"/>
  <c r="T78" i="9"/>
  <c r="T79" i="9"/>
  <c r="T77" i="9"/>
  <c r="T121" i="9"/>
  <c r="T96" i="9"/>
  <c r="T84" i="9"/>
  <c r="T85" i="9"/>
  <c r="R82" i="9"/>
  <c r="U83" i="9"/>
  <c r="U78" i="9"/>
  <c r="U79" i="9"/>
  <c r="U77" i="9"/>
  <c r="U121" i="9"/>
  <c r="U96" i="9"/>
  <c r="U84" i="9"/>
  <c r="U85" i="9"/>
  <c r="S82" i="9"/>
  <c r="V83" i="9"/>
  <c r="V78" i="9"/>
  <c r="V79" i="9"/>
  <c r="V77" i="9"/>
  <c r="V121" i="9"/>
  <c r="V96" i="9"/>
  <c r="V84" i="9"/>
  <c r="V85" i="9"/>
  <c r="T82" i="9"/>
  <c r="W83" i="9"/>
  <c r="W78" i="9"/>
  <c r="W79" i="9"/>
  <c r="W77" i="9"/>
  <c r="W121" i="9"/>
  <c r="W96" i="9"/>
  <c r="W84" i="9"/>
  <c r="W85" i="9"/>
  <c r="U82" i="9"/>
  <c r="X85" i="9"/>
  <c r="V82" i="9"/>
  <c r="X96" i="9"/>
  <c r="Y85" i="9"/>
  <c r="W82" i="9"/>
  <c r="X82" i="9"/>
  <c r="Y82" i="9"/>
  <c r="Z82" i="9"/>
  <c r="Y96" i="9"/>
  <c r="Z85" i="9"/>
  <c r="AA82" i="9"/>
  <c r="Z96" i="9"/>
  <c r="AA85" i="9"/>
  <c r="AB82" i="9"/>
  <c r="AA96" i="9"/>
  <c r="AB85" i="9"/>
  <c r="AC82" i="9"/>
  <c r="AB96" i="9"/>
  <c r="AC85" i="9"/>
  <c r="AD82" i="9"/>
  <c r="C32" i="9"/>
  <c r="F32" i="9"/>
  <c r="F127" i="9"/>
  <c r="G127" i="9"/>
  <c r="H127" i="9"/>
  <c r="I127" i="9"/>
  <c r="J127" i="9"/>
  <c r="K127" i="9"/>
  <c r="L127" i="9"/>
  <c r="M127" i="9"/>
  <c r="N127" i="9"/>
  <c r="O127" i="9"/>
  <c r="P127" i="9"/>
  <c r="Q127" i="9"/>
  <c r="R127" i="9"/>
  <c r="S127" i="9"/>
  <c r="T127" i="9"/>
  <c r="U127" i="9"/>
  <c r="V127" i="9"/>
  <c r="W127" i="9"/>
  <c r="X78" i="9"/>
  <c r="X79" i="9"/>
  <c r="X77" i="9"/>
  <c r="X121" i="9"/>
  <c r="X127" i="9"/>
  <c r="Y78" i="9"/>
  <c r="Y79" i="9"/>
  <c r="Y77" i="9"/>
  <c r="Y121" i="9"/>
  <c r="Y127" i="9"/>
  <c r="Z78" i="9"/>
  <c r="Z79" i="9"/>
  <c r="Z77" i="9"/>
  <c r="Z121" i="9"/>
  <c r="Z127" i="9"/>
  <c r="AA78" i="9"/>
  <c r="AA79" i="9"/>
  <c r="AA77" i="9"/>
  <c r="AA121" i="9"/>
  <c r="AA127" i="9"/>
  <c r="AB78" i="9"/>
  <c r="AB79" i="9"/>
  <c r="AB77" i="9"/>
  <c r="AB121" i="9"/>
  <c r="AB127" i="9"/>
  <c r="AC78" i="9"/>
  <c r="AC79" i="9"/>
  <c r="AC77" i="9"/>
  <c r="AC121" i="9"/>
  <c r="AC127" i="9"/>
  <c r="AD78" i="9"/>
  <c r="AD79" i="9"/>
  <c r="AD77" i="9"/>
  <c r="AD121" i="9"/>
  <c r="AD127" i="9"/>
  <c r="C43" i="9"/>
  <c r="F125" i="9"/>
  <c r="G124" i="9"/>
  <c r="G125" i="9"/>
  <c r="H124" i="9"/>
  <c r="H125" i="9"/>
  <c r="I124" i="9"/>
  <c r="I125" i="9"/>
  <c r="J124" i="9"/>
  <c r="J125" i="9"/>
  <c r="K124" i="9"/>
  <c r="K125" i="9"/>
  <c r="L124" i="9"/>
  <c r="L125" i="9"/>
  <c r="M124" i="9"/>
  <c r="M125" i="9"/>
  <c r="N124" i="9"/>
  <c r="N125" i="9"/>
  <c r="O124" i="9"/>
  <c r="O125" i="9"/>
  <c r="P124" i="9"/>
  <c r="P125" i="9"/>
  <c r="Q124" i="9"/>
  <c r="Q125" i="9"/>
  <c r="R124" i="9"/>
  <c r="R125" i="9"/>
  <c r="S124" i="9"/>
  <c r="S125" i="9"/>
  <c r="T124" i="9"/>
  <c r="T125" i="9"/>
  <c r="U124" i="9"/>
  <c r="U125" i="9"/>
  <c r="V124" i="9"/>
  <c r="V125" i="9"/>
  <c r="W124" i="9"/>
  <c r="W125" i="9"/>
  <c r="X124" i="9"/>
  <c r="X125" i="9"/>
  <c r="Y124" i="9"/>
  <c r="Y125" i="9"/>
  <c r="Z124" i="9"/>
  <c r="Z125" i="9"/>
  <c r="AA124" i="9"/>
  <c r="AA125" i="9"/>
  <c r="AB124" i="9"/>
  <c r="AB125" i="9"/>
  <c r="AC124" i="9"/>
  <c r="AC125" i="9"/>
  <c r="AD124" i="9"/>
  <c r="AD125" i="9"/>
  <c r="AD126" i="9"/>
  <c r="D43" i="9"/>
  <c r="F43" i="9"/>
  <c r="J75" i="10"/>
  <c r="K75" i="10"/>
  <c r="L75" i="10"/>
  <c r="M75" i="10"/>
  <c r="N75" i="10"/>
  <c r="O75" i="10"/>
  <c r="P75" i="10"/>
  <c r="Q75" i="10"/>
  <c r="R75" i="10"/>
  <c r="S75" i="10"/>
  <c r="T75" i="10"/>
  <c r="U75" i="10"/>
  <c r="V75" i="10"/>
  <c r="W75" i="10"/>
  <c r="X75" i="10"/>
  <c r="Y75" i="10"/>
  <c r="Z75" i="10"/>
  <c r="AA75" i="10"/>
  <c r="AB75" i="10"/>
  <c r="AC75" i="10"/>
  <c r="AD75" i="10"/>
  <c r="AD76" i="10"/>
  <c r="F78" i="10"/>
  <c r="G78" i="10"/>
  <c r="H78" i="10"/>
  <c r="I78" i="10"/>
  <c r="J78" i="10"/>
  <c r="K78" i="10"/>
  <c r="L78" i="10"/>
  <c r="M78" i="10"/>
  <c r="N78" i="10"/>
  <c r="O78" i="10"/>
  <c r="P78" i="10"/>
  <c r="Q78" i="10"/>
  <c r="R78" i="10"/>
  <c r="S78" i="10"/>
  <c r="T78" i="10"/>
  <c r="U78" i="10"/>
  <c r="V78" i="10"/>
  <c r="W78" i="10"/>
  <c r="X78" i="10"/>
  <c r="Y78" i="10"/>
  <c r="Z78" i="10"/>
  <c r="AA78" i="10"/>
  <c r="AB78" i="10"/>
  <c r="AC78" i="10"/>
  <c r="AD78" i="10"/>
  <c r="F79" i="10"/>
  <c r="G79" i="10"/>
  <c r="H79" i="10"/>
  <c r="I79" i="10"/>
  <c r="J79" i="10"/>
  <c r="K79" i="10"/>
  <c r="L79" i="10"/>
  <c r="M79" i="10"/>
  <c r="N79" i="10"/>
  <c r="O79" i="10"/>
  <c r="P79" i="10"/>
  <c r="Q79" i="10"/>
  <c r="R79" i="10"/>
  <c r="S79" i="10"/>
  <c r="T79" i="10"/>
  <c r="U79" i="10"/>
  <c r="V79" i="10"/>
  <c r="W79" i="10"/>
  <c r="X79" i="10"/>
  <c r="Y79" i="10"/>
  <c r="Z79" i="10"/>
  <c r="AA79" i="10"/>
  <c r="AB79" i="10"/>
  <c r="AC79" i="10"/>
  <c r="AD79" i="10"/>
  <c r="AD77" i="10"/>
  <c r="AD121" i="10"/>
  <c r="AD127" i="10"/>
  <c r="AC76" i="10"/>
  <c r="AC77" i="10"/>
  <c r="AC121" i="10"/>
  <c r="AC127" i="10"/>
  <c r="AB76" i="10"/>
  <c r="AB77" i="10"/>
  <c r="AB121" i="10"/>
  <c r="AB127" i="10"/>
  <c r="AA76" i="10"/>
  <c r="AA77" i="10"/>
  <c r="AA121" i="10"/>
  <c r="AA127" i="10"/>
  <c r="Z76" i="10"/>
  <c r="Z77" i="10"/>
  <c r="Z121" i="10"/>
  <c r="Z127" i="10"/>
  <c r="Y76" i="10"/>
  <c r="Y77" i="10"/>
  <c r="Y121" i="10"/>
  <c r="Y127" i="10"/>
  <c r="X76" i="10"/>
  <c r="X77" i="10"/>
  <c r="X121" i="10"/>
  <c r="X127" i="10"/>
  <c r="W76" i="10"/>
  <c r="W77" i="10"/>
  <c r="W121" i="10"/>
  <c r="W127" i="10"/>
  <c r="V76" i="10"/>
  <c r="V77" i="10"/>
  <c r="V121" i="10"/>
  <c r="V127" i="10"/>
  <c r="U76" i="10"/>
  <c r="U77" i="10"/>
  <c r="U121" i="10"/>
  <c r="U127" i="10"/>
  <c r="T76" i="10"/>
  <c r="T77" i="10"/>
  <c r="T121" i="10"/>
  <c r="T127" i="10"/>
  <c r="S76" i="10"/>
  <c r="S77" i="10"/>
  <c r="S121" i="10"/>
  <c r="S127" i="10"/>
  <c r="R76" i="10"/>
  <c r="R77" i="10"/>
  <c r="R121" i="10"/>
  <c r="R127" i="10"/>
  <c r="Q76" i="10"/>
  <c r="Q77" i="10"/>
  <c r="Q121" i="10"/>
  <c r="Q127" i="10"/>
  <c r="P76" i="10"/>
  <c r="P77" i="10"/>
  <c r="P121" i="10"/>
  <c r="P127" i="10"/>
  <c r="O76" i="10"/>
  <c r="O77" i="10"/>
  <c r="O121" i="10"/>
  <c r="O127" i="10"/>
  <c r="N76" i="10"/>
  <c r="N77" i="10"/>
  <c r="N121" i="10"/>
  <c r="N127" i="10"/>
  <c r="M76" i="10"/>
  <c r="M77" i="10"/>
  <c r="M121" i="10"/>
  <c r="M127" i="10"/>
  <c r="L76" i="10"/>
  <c r="L77" i="10"/>
  <c r="L121" i="10"/>
  <c r="L127" i="10"/>
  <c r="K76" i="10"/>
  <c r="K77" i="10"/>
  <c r="K121" i="10"/>
  <c r="K127" i="10"/>
  <c r="J76" i="10"/>
  <c r="J77" i="10"/>
  <c r="J121" i="10"/>
  <c r="J127" i="10"/>
  <c r="I76" i="10"/>
  <c r="I77" i="10"/>
  <c r="I121" i="10"/>
  <c r="I127" i="10"/>
  <c r="G53" i="10"/>
  <c r="H53" i="10"/>
  <c r="H76" i="10"/>
  <c r="H77" i="10"/>
  <c r="H121" i="10"/>
  <c r="H127" i="10"/>
  <c r="G52" i="10"/>
  <c r="G76" i="10"/>
  <c r="G77" i="10"/>
  <c r="G121" i="10"/>
  <c r="G127" i="10"/>
  <c r="F76" i="10"/>
  <c r="F77" i="10"/>
  <c r="F121" i="10"/>
  <c r="F127" i="10"/>
  <c r="C6" i="10"/>
  <c r="C22" i="10"/>
  <c r="E2" i="10"/>
  <c r="E3" i="10"/>
  <c r="E4" i="10"/>
  <c r="E6" i="10"/>
  <c r="D6" i="10"/>
  <c r="C7" i="10"/>
  <c r="C26" i="10"/>
  <c r="C28" i="10"/>
  <c r="F125" i="10"/>
  <c r="D85" i="10"/>
  <c r="G124" i="10"/>
  <c r="G125" i="10"/>
  <c r="H124" i="10"/>
  <c r="H125" i="10"/>
  <c r="I124" i="10"/>
  <c r="I125" i="10"/>
  <c r="J124" i="10"/>
  <c r="J125" i="10"/>
  <c r="K124" i="10"/>
  <c r="K125" i="10"/>
  <c r="L124" i="10"/>
  <c r="L125" i="10"/>
  <c r="M124" i="10"/>
  <c r="M125" i="10"/>
  <c r="N124" i="10"/>
  <c r="N125" i="10"/>
  <c r="O124" i="10"/>
  <c r="O125" i="10"/>
  <c r="P124" i="10"/>
  <c r="P125" i="10"/>
  <c r="Q124" i="10"/>
  <c r="Q125" i="10"/>
  <c r="R124" i="10"/>
  <c r="R125" i="10"/>
  <c r="S124" i="10"/>
  <c r="S125" i="10"/>
  <c r="T124" i="10"/>
  <c r="T125" i="10"/>
  <c r="U124" i="10"/>
  <c r="U125" i="10"/>
  <c r="V124" i="10"/>
  <c r="V125" i="10"/>
  <c r="W124" i="10"/>
  <c r="W125" i="10"/>
  <c r="X124" i="10"/>
  <c r="X125" i="10"/>
  <c r="Y124" i="10"/>
  <c r="Y125" i="10"/>
  <c r="Z124" i="10"/>
  <c r="Z125" i="10"/>
  <c r="AA124" i="10"/>
  <c r="AA125" i="10"/>
  <c r="AB124" i="10"/>
  <c r="AB125" i="10"/>
  <c r="AC124" i="10"/>
  <c r="AC125" i="10"/>
  <c r="AD124" i="10"/>
  <c r="AD125" i="10"/>
  <c r="AD126" i="10"/>
  <c r="AC126" i="10"/>
  <c r="AB126" i="10"/>
  <c r="AA126" i="10"/>
  <c r="Z126" i="10"/>
  <c r="Y126" i="10"/>
  <c r="X126" i="10"/>
  <c r="W126" i="10"/>
  <c r="V126" i="10"/>
  <c r="U126" i="10"/>
  <c r="T126" i="10"/>
  <c r="S126" i="10"/>
  <c r="R126" i="10"/>
  <c r="Q126" i="10"/>
  <c r="P126" i="10"/>
  <c r="O126" i="10"/>
  <c r="N126" i="10"/>
  <c r="M126" i="10"/>
  <c r="L126" i="10"/>
  <c r="K126" i="10"/>
  <c r="J126" i="10"/>
  <c r="I126" i="10"/>
  <c r="H126" i="10"/>
  <c r="G126" i="10"/>
  <c r="F126" i="10"/>
  <c r="F124" i="10"/>
  <c r="AD123" i="10"/>
  <c r="AC123" i="10"/>
  <c r="AB123" i="10"/>
  <c r="AA123" i="10"/>
  <c r="Z123" i="10"/>
  <c r="Y123" i="10"/>
  <c r="X123" i="10"/>
  <c r="W123" i="10"/>
  <c r="V123" i="10"/>
  <c r="U123" i="10"/>
  <c r="T123" i="10"/>
  <c r="S123" i="10"/>
  <c r="R123" i="10"/>
  <c r="Q123" i="10"/>
  <c r="P123" i="10"/>
  <c r="O123" i="10"/>
  <c r="N123" i="10"/>
  <c r="M123" i="10"/>
  <c r="L123" i="10"/>
  <c r="K123" i="10"/>
  <c r="J123" i="10"/>
  <c r="I123" i="10"/>
  <c r="H123" i="10"/>
  <c r="G123" i="10"/>
  <c r="F123" i="10"/>
  <c r="C11" i="10"/>
  <c r="AD122" i="10"/>
  <c r="AC122" i="10"/>
  <c r="AB122" i="10"/>
  <c r="AA122" i="10"/>
  <c r="Z122" i="10"/>
  <c r="Y122" i="10"/>
  <c r="X122" i="10"/>
  <c r="W122" i="10"/>
  <c r="V122" i="10"/>
  <c r="U122" i="10"/>
  <c r="T122" i="10"/>
  <c r="S122" i="10"/>
  <c r="R122" i="10"/>
  <c r="Q122" i="10"/>
  <c r="P122" i="10"/>
  <c r="O122" i="10"/>
  <c r="N122" i="10"/>
  <c r="M122" i="10"/>
  <c r="L122" i="10"/>
  <c r="K122" i="10"/>
  <c r="J122" i="10"/>
  <c r="I122" i="10"/>
  <c r="H122" i="10"/>
  <c r="G122" i="10"/>
  <c r="F122" i="10"/>
  <c r="AI121" i="10"/>
  <c r="AH121" i="10"/>
  <c r="AH115" i="10"/>
  <c r="AH119" i="10"/>
  <c r="AI115" i="10"/>
  <c r="AI119" i="10"/>
  <c r="G115" i="10"/>
  <c r="F115" i="10"/>
  <c r="F116" i="10"/>
  <c r="F117" i="10"/>
  <c r="F118" i="10"/>
  <c r="F119" i="10"/>
  <c r="G116" i="10"/>
  <c r="G117" i="10"/>
  <c r="G118" i="10"/>
  <c r="G119" i="10"/>
  <c r="I115" i="10"/>
  <c r="H115" i="10"/>
  <c r="H116" i="10"/>
  <c r="H117" i="10"/>
  <c r="H118" i="10"/>
  <c r="H119" i="10"/>
  <c r="I116" i="10"/>
  <c r="I117" i="10"/>
  <c r="I118" i="10"/>
  <c r="I119" i="10"/>
  <c r="K115" i="10"/>
  <c r="J115" i="10"/>
  <c r="J116" i="10"/>
  <c r="J117" i="10"/>
  <c r="J118" i="10"/>
  <c r="J119" i="10"/>
  <c r="K116" i="10"/>
  <c r="K117" i="10"/>
  <c r="K118" i="10"/>
  <c r="K119" i="10"/>
  <c r="M115" i="10"/>
  <c r="L115" i="10"/>
  <c r="L116" i="10"/>
  <c r="L117" i="10"/>
  <c r="L118" i="10"/>
  <c r="L119" i="10"/>
  <c r="M116" i="10"/>
  <c r="M117" i="10"/>
  <c r="M118" i="10"/>
  <c r="M119" i="10"/>
  <c r="O115" i="10"/>
  <c r="N115" i="10"/>
  <c r="N116" i="10"/>
  <c r="N117" i="10"/>
  <c r="N118" i="10"/>
  <c r="N119" i="10"/>
  <c r="O116" i="10"/>
  <c r="O117" i="10"/>
  <c r="O118" i="10"/>
  <c r="O119" i="10"/>
  <c r="Q115" i="10"/>
  <c r="P115" i="10"/>
  <c r="P116" i="10"/>
  <c r="P117" i="10"/>
  <c r="P118" i="10"/>
  <c r="P119" i="10"/>
  <c r="Q116" i="10"/>
  <c r="Q117" i="10"/>
  <c r="Q118" i="10"/>
  <c r="Q119" i="10"/>
  <c r="S115" i="10"/>
  <c r="R115" i="10"/>
  <c r="R116" i="10"/>
  <c r="R117" i="10"/>
  <c r="R118" i="10"/>
  <c r="R119" i="10"/>
  <c r="S116" i="10"/>
  <c r="S117" i="10"/>
  <c r="S118" i="10"/>
  <c r="S119" i="10"/>
  <c r="U115" i="10"/>
  <c r="T115" i="10"/>
  <c r="T116" i="10"/>
  <c r="T117" i="10"/>
  <c r="T118" i="10"/>
  <c r="T119" i="10"/>
  <c r="U116" i="10"/>
  <c r="U117" i="10"/>
  <c r="U118" i="10"/>
  <c r="U119" i="10"/>
  <c r="W115" i="10"/>
  <c r="V115" i="10"/>
  <c r="V116" i="10"/>
  <c r="V117" i="10"/>
  <c r="V118" i="10"/>
  <c r="V119" i="10"/>
  <c r="W116" i="10"/>
  <c r="W117" i="10"/>
  <c r="W118" i="10"/>
  <c r="W119" i="10"/>
  <c r="Y115" i="10"/>
  <c r="X115" i="10"/>
  <c r="X116" i="10"/>
  <c r="X117" i="10"/>
  <c r="X118" i="10"/>
  <c r="X119" i="10"/>
  <c r="Y116" i="10"/>
  <c r="Y117" i="10"/>
  <c r="Y118" i="10"/>
  <c r="Y119" i="10"/>
  <c r="AA115" i="10"/>
  <c r="Z115" i="10"/>
  <c r="Z116" i="10"/>
  <c r="Z117" i="10"/>
  <c r="Z118" i="10"/>
  <c r="Z119" i="10"/>
  <c r="AA116" i="10"/>
  <c r="AA117" i="10"/>
  <c r="AA118" i="10"/>
  <c r="AA119" i="10"/>
  <c r="AC115" i="10"/>
  <c r="AB115" i="10"/>
  <c r="AB116" i="10"/>
  <c r="AB117" i="10"/>
  <c r="AB118" i="10"/>
  <c r="AB119" i="10"/>
  <c r="AC116" i="10"/>
  <c r="AC117" i="10"/>
  <c r="AC118" i="10"/>
  <c r="AC119" i="10"/>
  <c r="AE115" i="10"/>
  <c r="AD115" i="10"/>
  <c r="AD116" i="10"/>
  <c r="AD117" i="10"/>
  <c r="AD118" i="10"/>
  <c r="AD119" i="10"/>
  <c r="AE116" i="10"/>
  <c r="AE117" i="10"/>
  <c r="AE118" i="10"/>
  <c r="AE119" i="10"/>
  <c r="AI116" i="10"/>
  <c r="AI117" i="10"/>
  <c r="AI118" i="10"/>
  <c r="AH116" i="10"/>
  <c r="AH117" i="10"/>
  <c r="AH118" i="10"/>
  <c r="F110" i="10"/>
  <c r="F111" i="10"/>
  <c r="F112" i="10"/>
  <c r="F113" i="10"/>
  <c r="F114" i="10"/>
  <c r="G110" i="10"/>
  <c r="G111" i="10"/>
  <c r="G112" i="10"/>
  <c r="G113" i="10"/>
  <c r="G114" i="10"/>
  <c r="H110" i="10"/>
  <c r="H111" i="10"/>
  <c r="H112" i="10"/>
  <c r="H113" i="10"/>
  <c r="H114" i="10"/>
  <c r="I110" i="10"/>
  <c r="I111" i="10"/>
  <c r="I112" i="10"/>
  <c r="I113" i="10"/>
  <c r="I114" i="10"/>
  <c r="J110" i="10"/>
  <c r="J111" i="10"/>
  <c r="J112" i="10"/>
  <c r="J113" i="10"/>
  <c r="J114" i="10"/>
  <c r="K110" i="10"/>
  <c r="K111" i="10"/>
  <c r="K112" i="10"/>
  <c r="K113" i="10"/>
  <c r="K114" i="10"/>
  <c r="L110" i="10"/>
  <c r="L111" i="10"/>
  <c r="L112" i="10"/>
  <c r="L113" i="10"/>
  <c r="L114" i="10"/>
  <c r="M110" i="10"/>
  <c r="M111" i="10"/>
  <c r="M112" i="10"/>
  <c r="M113" i="10"/>
  <c r="M114" i="10"/>
  <c r="N110" i="10"/>
  <c r="N111" i="10"/>
  <c r="N112" i="10"/>
  <c r="N113" i="10"/>
  <c r="N114" i="10"/>
  <c r="O110" i="10"/>
  <c r="O111" i="10"/>
  <c r="O112" i="10"/>
  <c r="O113" i="10"/>
  <c r="O114" i="10"/>
  <c r="AI112" i="10"/>
  <c r="AH112" i="10"/>
  <c r="AE112" i="10"/>
  <c r="AD112" i="10"/>
  <c r="AC112" i="10"/>
  <c r="AB112" i="10"/>
  <c r="AA112" i="10"/>
  <c r="Z112" i="10"/>
  <c r="Y112" i="10"/>
  <c r="X112" i="10"/>
  <c r="W112" i="10"/>
  <c r="V112" i="10"/>
  <c r="U112" i="10"/>
  <c r="T112" i="10"/>
  <c r="S112" i="10"/>
  <c r="R112" i="10"/>
  <c r="Q112" i="10"/>
  <c r="P112" i="10"/>
  <c r="AD111" i="10"/>
  <c r="AC111" i="10"/>
  <c r="AB111" i="10"/>
  <c r="AA111" i="10"/>
  <c r="Z111" i="10"/>
  <c r="Y111" i="10"/>
  <c r="X111" i="10"/>
  <c r="W111" i="10"/>
  <c r="V111" i="10"/>
  <c r="U111" i="10"/>
  <c r="T111" i="10"/>
  <c r="S111" i="10"/>
  <c r="R111" i="10"/>
  <c r="Q111" i="10"/>
  <c r="P111" i="10"/>
  <c r="D110" i="10"/>
  <c r="F109" i="10"/>
  <c r="O109" i="10"/>
  <c r="N109" i="10"/>
  <c r="M109" i="10"/>
  <c r="L109" i="10"/>
  <c r="K109" i="10"/>
  <c r="J109" i="10"/>
  <c r="I109" i="10"/>
  <c r="H109" i="10"/>
  <c r="G109" i="10"/>
  <c r="C109" i="10"/>
  <c r="O108" i="10"/>
  <c r="N108" i="10"/>
  <c r="M108" i="10"/>
  <c r="L108" i="10"/>
  <c r="K108" i="10"/>
  <c r="J108" i="10"/>
  <c r="I108" i="10"/>
  <c r="H108" i="10"/>
  <c r="G108" i="10"/>
  <c r="F108" i="10"/>
  <c r="AH107" i="10"/>
  <c r="AI107" i="10"/>
  <c r="J107" i="10"/>
  <c r="F107" i="10"/>
  <c r="K107" i="10"/>
  <c r="L107" i="10"/>
  <c r="M107" i="10"/>
  <c r="N107" i="10"/>
  <c r="O107" i="10"/>
  <c r="P107" i="10"/>
  <c r="Q107" i="10"/>
  <c r="R107" i="10"/>
  <c r="S107" i="10"/>
  <c r="T107" i="10"/>
  <c r="U107" i="10"/>
  <c r="V107" i="10"/>
  <c r="W107" i="10"/>
  <c r="X107" i="10"/>
  <c r="Y107" i="10"/>
  <c r="Z107" i="10"/>
  <c r="AA107" i="10"/>
  <c r="AB107" i="10"/>
  <c r="AC107" i="10"/>
  <c r="AD107" i="10"/>
  <c r="AE107" i="10"/>
  <c r="I107" i="10"/>
  <c r="H107" i="10"/>
  <c r="G107" i="10"/>
  <c r="D107" i="10"/>
  <c r="AH105" i="10"/>
  <c r="AI105" i="10"/>
  <c r="AI106" i="10"/>
  <c r="AH106" i="10"/>
  <c r="AE106" i="10"/>
  <c r="F105" i="10"/>
  <c r="G105" i="10"/>
  <c r="H105" i="10"/>
  <c r="I105" i="10"/>
  <c r="J105" i="10"/>
  <c r="K105" i="10"/>
  <c r="L105" i="10"/>
  <c r="M105" i="10"/>
  <c r="N105" i="10"/>
  <c r="O105" i="10"/>
  <c r="P105" i="10"/>
  <c r="Q105" i="10"/>
  <c r="R105" i="10"/>
  <c r="S105" i="10"/>
  <c r="T105" i="10"/>
  <c r="U105" i="10"/>
  <c r="V105" i="10"/>
  <c r="W105" i="10"/>
  <c r="X105" i="10"/>
  <c r="Y105" i="10"/>
  <c r="Z105" i="10"/>
  <c r="AA105" i="10"/>
  <c r="AB105" i="10"/>
  <c r="AC105" i="10"/>
  <c r="AD105" i="10"/>
  <c r="AD106" i="10"/>
  <c r="AC106" i="10"/>
  <c r="AB106" i="10"/>
  <c r="AA106" i="10"/>
  <c r="Z106" i="10"/>
  <c r="Y106" i="10"/>
  <c r="X106" i="10"/>
  <c r="W106" i="10"/>
  <c r="V106" i="10"/>
  <c r="U106" i="10"/>
  <c r="T106" i="10"/>
  <c r="S106" i="10"/>
  <c r="R106" i="10"/>
  <c r="Q106" i="10"/>
  <c r="P106" i="10"/>
  <c r="O106" i="10"/>
  <c r="N106" i="10"/>
  <c r="M106" i="10"/>
  <c r="L106" i="10"/>
  <c r="K106" i="10"/>
  <c r="J106" i="10"/>
  <c r="I106" i="10"/>
  <c r="H106" i="10"/>
  <c r="G106" i="10"/>
  <c r="F106" i="10"/>
  <c r="AI104" i="10"/>
  <c r="AH104" i="10"/>
  <c r="AD104" i="10"/>
  <c r="AC104" i="10"/>
  <c r="AB104" i="10"/>
  <c r="AA104" i="10"/>
  <c r="Z104" i="10"/>
  <c r="Y104" i="10"/>
  <c r="X104" i="10"/>
  <c r="W104" i="10"/>
  <c r="V104" i="10"/>
  <c r="U104" i="10"/>
  <c r="T104" i="10"/>
  <c r="S104" i="10"/>
  <c r="R104" i="10"/>
  <c r="Q104" i="10"/>
  <c r="P104" i="10"/>
  <c r="O104" i="10"/>
  <c r="N104" i="10"/>
  <c r="M104" i="10"/>
  <c r="L104" i="10"/>
  <c r="K104" i="10"/>
  <c r="J104" i="10"/>
  <c r="I104" i="10"/>
  <c r="H104" i="10"/>
  <c r="G104" i="10"/>
  <c r="F104" i="10"/>
  <c r="AI103" i="10"/>
  <c r="AH103" i="10"/>
  <c r="AD103" i="10"/>
  <c r="AC103" i="10"/>
  <c r="AB103" i="10"/>
  <c r="AA103" i="10"/>
  <c r="Z103" i="10"/>
  <c r="Y103" i="10"/>
  <c r="X103" i="10"/>
  <c r="W103" i="10"/>
  <c r="V103" i="10"/>
  <c r="U103" i="10"/>
  <c r="T103" i="10"/>
  <c r="S103" i="10"/>
  <c r="R103" i="10"/>
  <c r="Q103" i="10"/>
  <c r="P103" i="10"/>
  <c r="O103" i="10"/>
  <c r="N103" i="10"/>
  <c r="M103" i="10"/>
  <c r="L103" i="10"/>
  <c r="K103" i="10"/>
  <c r="J103" i="10"/>
  <c r="I103" i="10"/>
  <c r="H103" i="10"/>
  <c r="G103" i="10"/>
  <c r="F103" i="10"/>
  <c r="O102" i="10"/>
  <c r="N102" i="10"/>
  <c r="M102" i="10"/>
  <c r="L102" i="10"/>
  <c r="K102" i="10"/>
  <c r="J102" i="10"/>
  <c r="I102" i="10"/>
  <c r="H102" i="10"/>
  <c r="G102" i="10"/>
  <c r="F102" i="10"/>
  <c r="D81" i="10"/>
  <c r="F96" i="10"/>
  <c r="F84" i="10"/>
  <c r="F85" i="10"/>
  <c r="G83" i="10"/>
  <c r="G73" i="10"/>
  <c r="G96" i="10"/>
  <c r="G84" i="10"/>
  <c r="G85" i="10"/>
  <c r="H83" i="10"/>
  <c r="H73" i="10"/>
  <c r="H96" i="10"/>
  <c r="H84" i="10"/>
  <c r="H85" i="10"/>
  <c r="I83" i="10"/>
  <c r="I73" i="10"/>
  <c r="I96" i="10"/>
  <c r="I84" i="10"/>
  <c r="I85" i="10"/>
  <c r="J83" i="10"/>
  <c r="J73" i="10"/>
  <c r="J96" i="10"/>
  <c r="J84" i="10"/>
  <c r="J85" i="10"/>
  <c r="K83" i="10"/>
  <c r="K73" i="10"/>
  <c r="K96" i="10"/>
  <c r="K84" i="10"/>
  <c r="K85" i="10"/>
  <c r="L83" i="10"/>
  <c r="L73" i="10"/>
  <c r="L96" i="10"/>
  <c r="L84" i="10"/>
  <c r="L85" i="10"/>
  <c r="M83" i="10"/>
  <c r="M73" i="10"/>
  <c r="M96" i="10"/>
  <c r="M84" i="10"/>
  <c r="M85" i="10"/>
  <c r="N83" i="10"/>
  <c r="N73" i="10"/>
  <c r="N96" i="10"/>
  <c r="N84" i="10"/>
  <c r="N85" i="10"/>
  <c r="O83" i="10"/>
  <c r="O73" i="10"/>
  <c r="O96" i="10"/>
  <c r="O84" i="10"/>
  <c r="O85" i="10"/>
  <c r="P83" i="10"/>
  <c r="P73" i="10"/>
  <c r="P96" i="10"/>
  <c r="P84" i="10"/>
  <c r="P85" i="10"/>
  <c r="Q83" i="10"/>
  <c r="Q73" i="10"/>
  <c r="Q96" i="10"/>
  <c r="Q84" i="10"/>
  <c r="Q85" i="10"/>
  <c r="R83" i="10"/>
  <c r="R73" i="10"/>
  <c r="R96" i="10"/>
  <c r="R84" i="10"/>
  <c r="R85" i="10"/>
  <c r="S83" i="10"/>
  <c r="S73" i="10"/>
  <c r="S96" i="10"/>
  <c r="S84" i="10"/>
  <c r="S85" i="10"/>
  <c r="T83" i="10"/>
  <c r="T73" i="10"/>
  <c r="T96" i="10"/>
  <c r="T84" i="10"/>
  <c r="T85" i="10"/>
  <c r="U83" i="10"/>
  <c r="U73" i="10"/>
  <c r="U96" i="10"/>
  <c r="U84" i="10"/>
  <c r="U85" i="10"/>
  <c r="V83" i="10"/>
  <c r="V73" i="10"/>
  <c r="V96" i="10"/>
  <c r="V84" i="10"/>
  <c r="V85" i="10"/>
  <c r="W83" i="10"/>
  <c r="W73" i="10"/>
  <c r="W96" i="10"/>
  <c r="W84" i="10"/>
  <c r="W85" i="10"/>
  <c r="X83" i="10"/>
  <c r="X73" i="10"/>
  <c r="X96" i="10"/>
  <c r="X84" i="10"/>
  <c r="X85" i="10"/>
  <c r="Y73" i="10"/>
  <c r="Y83" i="10"/>
  <c r="Y96" i="10"/>
  <c r="Y84" i="10"/>
  <c r="Y85" i="10"/>
  <c r="Z73" i="10"/>
  <c r="Z83" i="10"/>
  <c r="Z96" i="10"/>
  <c r="Z84" i="10"/>
  <c r="Z85" i="10"/>
  <c r="AA73" i="10"/>
  <c r="AA83" i="10"/>
  <c r="AA96" i="10"/>
  <c r="AA84" i="10"/>
  <c r="AA85" i="10"/>
  <c r="AB73" i="10"/>
  <c r="AB83" i="10"/>
  <c r="AB96" i="10"/>
  <c r="AB84" i="10"/>
  <c r="AB85" i="10"/>
  <c r="AC73" i="10"/>
  <c r="AC83" i="10"/>
  <c r="AC96" i="10"/>
  <c r="AC84" i="10"/>
  <c r="AC85" i="10"/>
  <c r="AD73" i="10"/>
  <c r="AD83" i="10"/>
  <c r="AD96" i="10"/>
  <c r="AD84" i="10"/>
  <c r="AD85" i="10"/>
  <c r="AD97" i="10"/>
  <c r="AC97" i="10"/>
  <c r="AB97" i="10"/>
  <c r="AA97" i="10"/>
  <c r="Z97" i="10"/>
  <c r="Y97" i="10"/>
  <c r="X97" i="10"/>
  <c r="W97" i="10"/>
  <c r="V97" i="10"/>
  <c r="U97" i="10"/>
  <c r="T97" i="10"/>
  <c r="S97" i="10"/>
  <c r="R97" i="10"/>
  <c r="Q97" i="10"/>
  <c r="P97" i="10"/>
  <c r="O97" i="10"/>
  <c r="N97" i="10"/>
  <c r="M97" i="10"/>
  <c r="L97" i="10"/>
  <c r="K97" i="10"/>
  <c r="J97" i="10"/>
  <c r="I97" i="10"/>
  <c r="H97" i="10"/>
  <c r="G97" i="10"/>
  <c r="F97" i="10"/>
  <c r="F92" i="10"/>
  <c r="F89" i="10"/>
  <c r="F90" i="10"/>
  <c r="G88" i="10"/>
  <c r="G89" i="10"/>
  <c r="G90" i="10"/>
  <c r="G92" i="10"/>
  <c r="H88" i="10"/>
  <c r="H92" i="10"/>
  <c r="H89" i="10"/>
  <c r="H90" i="10"/>
  <c r="I88" i="10"/>
  <c r="I92" i="10"/>
  <c r="I89" i="10"/>
  <c r="I90" i="10"/>
  <c r="J88" i="10"/>
  <c r="J92" i="10"/>
  <c r="J89" i="10"/>
  <c r="J90" i="10"/>
  <c r="K88" i="10"/>
  <c r="K92" i="10"/>
  <c r="K89" i="10"/>
  <c r="K90" i="10"/>
  <c r="L88" i="10"/>
  <c r="L92" i="10"/>
  <c r="L89" i="10"/>
  <c r="L90" i="10"/>
  <c r="M88" i="10"/>
  <c r="M92" i="10"/>
  <c r="M89" i="10"/>
  <c r="M90" i="10"/>
  <c r="N88" i="10"/>
  <c r="N92" i="10"/>
  <c r="N89" i="10"/>
  <c r="N90" i="10"/>
  <c r="O88" i="10"/>
  <c r="O92" i="10"/>
  <c r="O89" i="10"/>
  <c r="O90" i="10"/>
  <c r="P88" i="10"/>
  <c r="P92" i="10"/>
  <c r="P89" i="10"/>
  <c r="P90" i="10"/>
  <c r="Q88" i="10"/>
  <c r="Q92" i="10"/>
  <c r="Q89" i="10"/>
  <c r="Q90" i="10"/>
  <c r="R88" i="10"/>
  <c r="R92" i="10"/>
  <c r="R89" i="10"/>
  <c r="R90" i="10"/>
  <c r="S88" i="10"/>
  <c r="S92" i="10"/>
  <c r="S89" i="10"/>
  <c r="S90" i="10"/>
  <c r="T88" i="10"/>
  <c r="T92" i="10"/>
  <c r="T89" i="10"/>
  <c r="T90" i="10"/>
  <c r="U88" i="10"/>
  <c r="U92" i="10"/>
  <c r="U89" i="10"/>
  <c r="U90" i="10"/>
  <c r="V88" i="10"/>
  <c r="V92" i="10"/>
  <c r="V89" i="10"/>
  <c r="V90" i="10"/>
  <c r="W88" i="10"/>
  <c r="W92" i="10"/>
  <c r="W89" i="10"/>
  <c r="W90" i="10"/>
  <c r="X88" i="10"/>
  <c r="X92" i="10"/>
  <c r="X89" i="10"/>
  <c r="X90" i="10"/>
  <c r="Y88" i="10"/>
  <c r="Y92" i="10"/>
  <c r="Y89" i="10"/>
  <c r="Y90" i="10"/>
  <c r="Y93" i="10"/>
  <c r="X93" i="10"/>
  <c r="W93" i="10"/>
  <c r="V93" i="10"/>
  <c r="U93" i="10"/>
  <c r="T93" i="10"/>
  <c r="S93" i="10"/>
  <c r="R93" i="10"/>
  <c r="Q93" i="10"/>
  <c r="P93" i="10"/>
  <c r="O93" i="10"/>
  <c r="N93" i="10"/>
  <c r="M93" i="10"/>
  <c r="L93" i="10"/>
  <c r="K93" i="10"/>
  <c r="J93" i="10"/>
  <c r="I93" i="10"/>
  <c r="H93" i="10"/>
  <c r="G93" i="10"/>
  <c r="F93" i="10"/>
  <c r="F88" i="10"/>
  <c r="AD87" i="10"/>
  <c r="AC87" i="10"/>
  <c r="AB87" i="10"/>
  <c r="AA87" i="10"/>
  <c r="Y87" i="10"/>
  <c r="X87" i="10"/>
  <c r="W87" i="10"/>
  <c r="V87" i="10"/>
  <c r="U87" i="10"/>
  <c r="T87" i="10"/>
  <c r="S87" i="10"/>
  <c r="R87" i="10"/>
  <c r="Q87" i="10"/>
  <c r="P87" i="10"/>
  <c r="O87" i="10"/>
  <c r="N87" i="10"/>
  <c r="M87" i="10"/>
  <c r="L87" i="10"/>
  <c r="K87" i="10"/>
  <c r="J87" i="10"/>
  <c r="I87" i="10"/>
  <c r="H87" i="10"/>
  <c r="G87" i="10"/>
  <c r="F87" i="10"/>
  <c r="C87" i="10"/>
  <c r="F83" i="10"/>
  <c r="AD82" i="10"/>
  <c r="AC82" i="10"/>
  <c r="AB82" i="10"/>
  <c r="AA82" i="10"/>
  <c r="Z82" i="10"/>
  <c r="Y82" i="10"/>
  <c r="X82" i="10"/>
  <c r="W82" i="10"/>
  <c r="V82" i="10"/>
  <c r="U82" i="10"/>
  <c r="T82" i="10"/>
  <c r="S82" i="10"/>
  <c r="R82" i="10"/>
  <c r="Q82" i="10"/>
  <c r="P82" i="10"/>
  <c r="O82" i="10"/>
  <c r="N82" i="10"/>
  <c r="M82" i="10"/>
  <c r="L82" i="10"/>
  <c r="K82" i="10"/>
  <c r="J82" i="10"/>
  <c r="I82" i="10"/>
  <c r="H82" i="10"/>
  <c r="G82" i="10"/>
  <c r="F82" i="10"/>
  <c r="D80" i="10"/>
  <c r="D43" i="10"/>
  <c r="AC70" i="10"/>
  <c r="AC71" i="10"/>
  <c r="D41" i="10"/>
  <c r="AB70" i="10"/>
  <c r="AB71" i="10"/>
  <c r="D32" i="10"/>
  <c r="AA70" i="10"/>
  <c r="AA71" i="10"/>
  <c r="D33" i="10"/>
  <c r="Z70" i="10"/>
  <c r="Z71" i="10"/>
  <c r="AH54" i="10"/>
  <c r="AI54" i="10"/>
  <c r="G54" i="10"/>
  <c r="H54" i="10"/>
  <c r="I54" i="10"/>
  <c r="J54" i="10"/>
  <c r="K54" i="10"/>
  <c r="L54" i="10"/>
  <c r="M54" i="10"/>
  <c r="N54" i="10"/>
  <c r="O54" i="10"/>
  <c r="P54" i="10"/>
  <c r="Q54" i="10"/>
  <c r="R54" i="10"/>
  <c r="S54" i="10"/>
  <c r="T54" i="10"/>
  <c r="U54" i="10"/>
  <c r="V54" i="10"/>
  <c r="W54" i="10"/>
  <c r="X54" i="10"/>
  <c r="Y54" i="10"/>
  <c r="Z54" i="10"/>
  <c r="AA54" i="10"/>
  <c r="AB54" i="10"/>
  <c r="AC54" i="10"/>
  <c r="AD54" i="10"/>
  <c r="AE54" i="10"/>
  <c r="AH53" i="10"/>
  <c r="AI53" i="10"/>
  <c r="I53" i="10"/>
  <c r="J53" i="10"/>
  <c r="K53" i="10"/>
  <c r="L53" i="10"/>
  <c r="M53" i="10"/>
  <c r="N53" i="10"/>
  <c r="O53" i="10"/>
  <c r="P53" i="10"/>
  <c r="Q53" i="10"/>
  <c r="R53" i="10"/>
  <c r="S53" i="10"/>
  <c r="T53" i="10"/>
  <c r="U53" i="10"/>
  <c r="V53" i="10"/>
  <c r="W53" i="10"/>
  <c r="X53" i="10"/>
  <c r="Y53" i="10"/>
  <c r="Z53" i="10"/>
  <c r="AA53" i="10"/>
  <c r="AB53" i="10"/>
  <c r="AC53" i="10"/>
  <c r="AD53" i="10"/>
  <c r="AE53" i="10"/>
  <c r="AH52" i="10"/>
  <c r="AI52" i="10"/>
  <c r="H52" i="10"/>
  <c r="I52" i="10"/>
  <c r="J52" i="10"/>
  <c r="K52" i="10"/>
  <c r="L52" i="10"/>
  <c r="M52" i="10"/>
  <c r="N52" i="10"/>
  <c r="O52" i="10"/>
  <c r="P52" i="10"/>
  <c r="Q52" i="10"/>
  <c r="R52" i="10"/>
  <c r="S52" i="10"/>
  <c r="T52" i="10"/>
  <c r="U52" i="10"/>
  <c r="V52" i="10"/>
  <c r="W52" i="10"/>
  <c r="X52" i="10"/>
  <c r="Y52" i="10"/>
  <c r="Z52" i="10"/>
  <c r="AA52" i="10"/>
  <c r="AB52" i="10"/>
  <c r="AC52" i="10"/>
  <c r="AD52" i="10"/>
  <c r="AE52" i="10"/>
  <c r="AH51" i="10"/>
  <c r="AI51" i="10"/>
  <c r="G51" i="10"/>
  <c r="H51" i="10"/>
  <c r="I51" i="10"/>
  <c r="J51" i="10"/>
  <c r="K51" i="10"/>
  <c r="L51" i="10"/>
  <c r="M51" i="10"/>
  <c r="N51" i="10"/>
  <c r="O51" i="10"/>
  <c r="P51" i="10"/>
  <c r="Q51" i="10"/>
  <c r="R51" i="10"/>
  <c r="S51" i="10"/>
  <c r="T51" i="10"/>
  <c r="U51" i="10"/>
  <c r="V51" i="10"/>
  <c r="W51" i="10"/>
  <c r="X51" i="10"/>
  <c r="Y51" i="10"/>
  <c r="Z51" i="10"/>
  <c r="AA51" i="10"/>
  <c r="AB51" i="10"/>
  <c r="AC51" i="10"/>
  <c r="AD51" i="10"/>
  <c r="AE51" i="10"/>
  <c r="C43" i="10"/>
  <c r="E43" i="10"/>
  <c r="C42" i="10"/>
  <c r="D42" i="10"/>
  <c r="C41" i="10"/>
  <c r="E41" i="10"/>
  <c r="C40" i="10"/>
  <c r="C39" i="10"/>
  <c r="C38" i="10"/>
  <c r="C37" i="10"/>
  <c r="C36" i="10"/>
  <c r="D36" i="10"/>
  <c r="D35" i="10"/>
  <c r="C35" i="10"/>
  <c r="E34" i="10"/>
  <c r="D34" i="10"/>
  <c r="C34" i="10"/>
  <c r="C33" i="10"/>
  <c r="E33" i="10"/>
  <c r="C32" i="10"/>
  <c r="E32" i="10"/>
  <c r="B32" i="10"/>
  <c r="D26" i="10"/>
  <c r="D22" i="10"/>
  <c r="D10" i="10"/>
  <c r="G130" i="9"/>
  <c r="H130" i="9"/>
  <c r="I130" i="9"/>
  <c r="J130" i="9"/>
  <c r="K130" i="9"/>
  <c r="L130" i="9"/>
  <c r="M130" i="9"/>
  <c r="N130" i="9"/>
  <c r="O130" i="9"/>
  <c r="P130" i="9"/>
  <c r="Q130" i="9"/>
  <c r="R130" i="9"/>
  <c r="S130" i="9"/>
  <c r="T130" i="9"/>
  <c r="U130" i="9"/>
  <c r="V130" i="9"/>
  <c r="W130" i="9"/>
  <c r="X130" i="9"/>
  <c r="Y130" i="9"/>
  <c r="Z130" i="9"/>
  <c r="AA130" i="9"/>
  <c r="AB130" i="9"/>
  <c r="AC130" i="9"/>
  <c r="AD130" i="9"/>
  <c r="M75" i="9"/>
  <c r="N75" i="9"/>
  <c r="O75" i="9"/>
  <c r="P75" i="9"/>
  <c r="Q75" i="9"/>
  <c r="R75" i="9"/>
  <c r="S75" i="9"/>
  <c r="T75" i="9"/>
  <c r="U75" i="9"/>
  <c r="V75" i="9"/>
  <c r="W75" i="9"/>
  <c r="X75" i="9"/>
  <c r="Y75" i="9"/>
  <c r="Z75" i="9"/>
  <c r="AA75" i="9"/>
  <c r="AB75" i="9"/>
  <c r="AC75" i="9"/>
  <c r="AD75" i="9"/>
  <c r="AD76" i="9"/>
  <c r="AC76" i="9"/>
  <c r="AB76" i="9"/>
  <c r="AA76" i="9"/>
  <c r="Z76" i="9"/>
  <c r="Y76" i="9"/>
  <c r="X76" i="9"/>
  <c r="W76" i="9"/>
  <c r="V76" i="9"/>
  <c r="U76" i="9"/>
  <c r="T76" i="9"/>
  <c r="S76" i="9"/>
  <c r="R76" i="9"/>
  <c r="Q76" i="9"/>
  <c r="P76" i="9"/>
  <c r="O76" i="9"/>
  <c r="N76" i="9"/>
  <c r="M76" i="9"/>
  <c r="L76" i="9"/>
  <c r="J75" i="9"/>
  <c r="K75" i="9"/>
  <c r="K76" i="9"/>
  <c r="J76" i="9"/>
  <c r="I76" i="9"/>
  <c r="G53" i="9"/>
  <c r="H53" i="9"/>
  <c r="H76" i="9"/>
  <c r="G52" i="9"/>
  <c r="G76" i="9"/>
  <c r="F76" i="9"/>
  <c r="C6" i="9"/>
  <c r="C22" i="9"/>
  <c r="E4" i="9"/>
  <c r="C26" i="9"/>
  <c r="C28" i="9"/>
  <c r="D85" i="9"/>
  <c r="AC126" i="9"/>
  <c r="AB126" i="9"/>
  <c r="AA126" i="9"/>
  <c r="Z126" i="9"/>
  <c r="Y126" i="9"/>
  <c r="X126" i="9"/>
  <c r="W126" i="9"/>
  <c r="V126" i="9"/>
  <c r="U126" i="9"/>
  <c r="T126" i="9"/>
  <c r="S126" i="9"/>
  <c r="R126" i="9"/>
  <c r="Q126" i="9"/>
  <c r="P126" i="9"/>
  <c r="O126" i="9"/>
  <c r="N126" i="9"/>
  <c r="M126" i="9"/>
  <c r="L126" i="9"/>
  <c r="K126" i="9"/>
  <c r="J126" i="9"/>
  <c r="I126" i="9"/>
  <c r="H126" i="9"/>
  <c r="G126" i="9"/>
  <c r="F126" i="9"/>
  <c r="F124" i="9"/>
  <c r="AD123" i="9"/>
  <c r="AC123" i="9"/>
  <c r="AB123" i="9"/>
  <c r="AA123" i="9"/>
  <c r="Z123" i="9"/>
  <c r="Y123" i="9"/>
  <c r="X123" i="9"/>
  <c r="W123" i="9"/>
  <c r="V123" i="9"/>
  <c r="U123" i="9"/>
  <c r="T123" i="9"/>
  <c r="S123" i="9"/>
  <c r="R123" i="9"/>
  <c r="Q123" i="9"/>
  <c r="P123" i="9"/>
  <c r="O123" i="9"/>
  <c r="N123" i="9"/>
  <c r="M123" i="9"/>
  <c r="L123" i="9"/>
  <c r="K123" i="9"/>
  <c r="J123" i="9"/>
  <c r="I123" i="9"/>
  <c r="H123" i="9"/>
  <c r="G123" i="9"/>
  <c r="F123" i="9"/>
  <c r="C11" i="9"/>
  <c r="AD122" i="9"/>
  <c r="AC122" i="9"/>
  <c r="AB122" i="9"/>
  <c r="AA122" i="9"/>
  <c r="Z122" i="9"/>
  <c r="Y122" i="9"/>
  <c r="X122" i="9"/>
  <c r="W122" i="9"/>
  <c r="V122" i="9"/>
  <c r="U122" i="9"/>
  <c r="T122" i="9"/>
  <c r="S122" i="9"/>
  <c r="R122" i="9"/>
  <c r="Q122" i="9"/>
  <c r="P122" i="9"/>
  <c r="O122" i="9"/>
  <c r="N122" i="9"/>
  <c r="M122" i="9"/>
  <c r="L122" i="9"/>
  <c r="K122" i="9"/>
  <c r="J122" i="9"/>
  <c r="I122" i="9"/>
  <c r="H122" i="9"/>
  <c r="G122" i="9"/>
  <c r="F122" i="9"/>
  <c r="AI121" i="9"/>
  <c r="AH121" i="9"/>
  <c r="AI119" i="9"/>
  <c r="AD116" i="9"/>
  <c r="AD117" i="9"/>
  <c r="AD118" i="9"/>
  <c r="AD119" i="9"/>
  <c r="AE116" i="9"/>
  <c r="AE117" i="9"/>
  <c r="AE118" i="9"/>
  <c r="AE119" i="9"/>
  <c r="AI116" i="9"/>
  <c r="AI117" i="9"/>
  <c r="AI118" i="9"/>
  <c r="AH116" i="9"/>
  <c r="AH117" i="9"/>
  <c r="AH118" i="9"/>
  <c r="F110" i="9"/>
  <c r="F111" i="9"/>
  <c r="F112" i="9"/>
  <c r="F113" i="9"/>
  <c r="F114" i="9"/>
  <c r="G110" i="9"/>
  <c r="G111" i="9"/>
  <c r="G112" i="9"/>
  <c r="G113" i="9"/>
  <c r="G114" i="9"/>
  <c r="H110" i="9"/>
  <c r="H111" i="9"/>
  <c r="H112" i="9"/>
  <c r="H113" i="9"/>
  <c r="H114" i="9"/>
  <c r="I110" i="9"/>
  <c r="I111" i="9"/>
  <c r="I112" i="9"/>
  <c r="I113" i="9"/>
  <c r="I114" i="9"/>
  <c r="J110" i="9"/>
  <c r="J111" i="9"/>
  <c r="J112" i="9"/>
  <c r="J113" i="9"/>
  <c r="J114" i="9"/>
  <c r="K110" i="9"/>
  <c r="K111" i="9"/>
  <c r="K112" i="9"/>
  <c r="K113" i="9"/>
  <c r="K114" i="9"/>
  <c r="L110" i="9"/>
  <c r="L111" i="9"/>
  <c r="L112" i="9"/>
  <c r="L113" i="9"/>
  <c r="L114" i="9"/>
  <c r="M110" i="9"/>
  <c r="M111" i="9"/>
  <c r="M112" i="9"/>
  <c r="M113" i="9"/>
  <c r="M114" i="9"/>
  <c r="N110" i="9"/>
  <c r="N111" i="9"/>
  <c r="N112" i="9"/>
  <c r="N113" i="9"/>
  <c r="N114" i="9"/>
  <c r="O110" i="9"/>
  <c r="O111" i="9"/>
  <c r="O112" i="9"/>
  <c r="O113" i="9"/>
  <c r="O114" i="9"/>
  <c r="AI112" i="9"/>
  <c r="AH112" i="9"/>
  <c r="AE112" i="9"/>
  <c r="AD112" i="9"/>
  <c r="AC112" i="9"/>
  <c r="AB112" i="9"/>
  <c r="AA112" i="9"/>
  <c r="Z112" i="9"/>
  <c r="Y112" i="9"/>
  <c r="X112" i="9"/>
  <c r="W112" i="9"/>
  <c r="V112" i="9"/>
  <c r="U112" i="9"/>
  <c r="T112" i="9"/>
  <c r="S112" i="9"/>
  <c r="R112" i="9"/>
  <c r="Q112" i="9"/>
  <c r="P112" i="9"/>
  <c r="AD111" i="9"/>
  <c r="AC111" i="9"/>
  <c r="AB111" i="9"/>
  <c r="AA111" i="9"/>
  <c r="Z111" i="9"/>
  <c r="Y111" i="9"/>
  <c r="X111" i="9"/>
  <c r="W111" i="9"/>
  <c r="V111" i="9"/>
  <c r="U111" i="9"/>
  <c r="T111" i="9"/>
  <c r="S111" i="9"/>
  <c r="R111" i="9"/>
  <c r="Q111" i="9"/>
  <c r="P111" i="9"/>
  <c r="D110" i="9"/>
  <c r="O108" i="9"/>
  <c r="N108" i="9"/>
  <c r="M108" i="9"/>
  <c r="L108" i="9"/>
  <c r="K108" i="9"/>
  <c r="J108" i="9"/>
  <c r="I108" i="9"/>
  <c r="H108" i="9"/>
  <c r="G108" i="9"/>
  <c r="F108" i="9"/>
  <c r="AH107" i="9"/>
  <c r="AI107" i="9"/>
  <c r="J107" i="9"/>
  <c r="F107" i="9"/>
  <c r="K107" i="9"/>
  <c r="L107" i="9"/>
  <c r="M107" i="9"/>
  <c r="N107" i="9"/>
  <c r="O107" i="9"/>
  <c r="P107" i="9"/>
  <c r="Q107" i="9"/>
  <c r="R107" i="9"/>
  <c r="S107" i="9"/>
  <c r="T107" i="9"/>
  <c r="U107" i="9"/>
  <c r="V107" i="9"/>
  <c r="W107" i="9"/>
  <c r="X107" i="9"/>
  <c r="Y107" i="9"/>
  <c r="Z107" i="9"/>
  <c r="AA107" i="9"/>
  <c r="AB107" i="9"/>
  <c r="AC107" i="9"/>
  <c r="AD107" i="9"/>
  <c r="AE107" i="9"/>
  <c r="I107" i="9"/>
  <c r="H107" i="9"/>
  <c r="G107" i="9"/>
  <c r="D107" i="9"/>
  <c r="AH105" i="9"/>
  <c r="AI105" i="9"/>
  <c r="AI106" i="9"/>
  <c r="AH106" i="9"/>
  <c r="AE106" i="9"/>
  <c r="AD106" i="9"/>
  <c r="AC106" i="9"/>
  <c r="AB106" i="9"/>
  <c r="AA106" i="9"/>
  <c r="Z106" i="9"/>
  <c r="Y106" i="9"/>
  <c r="X106" i="9"/>
  <c r="W106" i="9"/>
  <c r="V106" i="9"/>
  <c r="U106" i="9"/>
  <c r="T106" i="9"/>
  <c r="S106" i="9"/>
  <c r="R106" i="9"/>
  <c r="Q106" i="9"/>
  <c r="P106" i="9"/>
  <c r="O106" i="9"/>
  <c r="N106" i="9"/>
  <c r="M106" i="9"/>
  <c r="L106" i="9"/>
  <c r="K106" i="9"/>
  <c r="J106" i="9"/>
  <c r="I106" i="9"/>
  <c r="H106" i="9"/>
  <c r="G106" i="9"/>
  <c r="F106" i="9"/>
  <c r="AI104" i="9"/>
  <c r="AH104" i="9"/>
  <c r="AD104" i="9"/>
  <c r="AC104" i="9"/>
  <c r="AB104" i="9"/>
  <c r="AA104" i="9"/>
  <c r="Z104" i="9"/>
  <c r="Y104" i="9"/>
  <c r="X104" i="9"/>
  <c r="W104" i="9"/>
  <c r="V104" i="9"/>
  <c r="U104" i="9"/>
  <c r="T104" i="9"/>
  <c r="S104" i="9"/>
  <c r="R104" i="9"/>
  <c r="Q104" i="9"/>
  <c r="P104" i="9"/>
  <c r="O104" i="9"/>
  <c r="N104" i="9"/>
  <c r="M104" i="9"/>
  <c r="L104" i="9"/>
  <c r="K104" i="9"/>
  <c r="J104" i="9"/>
  <c r="I104" i="9"/>
  <c r="H104" i="9"/>
  <c r="G104" i="9"/>
  <c r="F104" i="9"/>
  <c r="AI103" i="9"/>
  <c r="AH103" i="9"/>
  <c r="AD103" i="9"/>
  <c r="AC103" i="9"/>
  <c r="AB103" i="9"/>
  <c r="AA103" i="9"/>
  <c r="Z103" i="9"/>
  <c r="Y103" i="9"/>
  <c r="X103" i="9"/>
  <c r="W103" i="9"/>
  <c r="V103" i="9"/>
  <c r="U103" i="9"/>
  <c r="T103" i="9"/>
  <c r="S103" i="9"/>
  <c r="R103" i="9"/>
  <c r="Q103" i="9"/>
  <c r="P103" i="9"/>
  <c r="O103" i="9"/>
  <c r="N103" i="9"/>
  <c r="M103" i="9"/>
  <c r="L103" i="9"/>
  <c r="K103" i="9"/>
  <c r="J103" i="9"/>
  <c r="I103" i="9"/>
  <c r="H103" i="9"/>
  <c r="G103" i="9"/>
  <c r="F103" i="9"/>
  <c r="O102" i="9"/>
  <c r="N102" i="9"/>
  <c r="M102" i="9"/>
  <c r="L102" i="9"/>
  <c r="K102" i="9"/>
  <c r="J102" i="9"/>
  <c r="I102" i="9"/>
  <c r="H102" i="9"/>
  <c r="G102" i="9"/>
  <c r="F102" i="9"/>
  <c r="G73" i="9"/>
  <c r="H73" i="9"/>
  <c r="I73" i="9"/>
  <c r="J73" i="9"/>
  <c r="K73" i="9"/>
  <c r="L73" i="9"/>
  <c r="M73" i="9"/>
  <c r="N73" i="9"/>
  <c r="O73" i="9"/>
  <c r="P73" i="9"/>
  <c r="Q73" i="9"/>
  <c r="R73" i="9"/>
  <c r="S73" i="9"/>
  <c r="T73" i="9"/>
  <c r="U73" i="9"/>
  <c r="V73" i="9"/>
  <c r="W73" i="9"/>
  <c r="X73" i="9"/>
  <c r="Y73" i="9"/>
  <c r="Z73" i="9"/>
  <c r="AA73" i="9"/>
  <c r="AB73" i="9"/>
  <c r="AC73" i="9"/>
  <c r="AD73" i="9"/>
  <c r="AC96" i="9"/>
  <c r="AD85" i="9"/>
  <c r="AD97" i="9"/>
  <c r="AC97" i="9"/>
  <c r="AB97" i="9"/>
  <c r="AA97" i="9"/>
  <c r="Z97" i="9"/>
  <c r="Y97" i="9"/>
  <c r="X97" i="9"/>
  <c r="W97" i="9"/>
  <c r="V97" i="9"/>
  <c r="U97" i="9"/>
  <c r="T97" i="9"/>
  <c r="S97" i="9"/>
  <c r="R97" i="9"/>
  <c r="Q97" i="9"/>
  <c r="P97" i="9"/>
  <c r="O97" i="9"/>
  <c r="N97" i="9"/>
  <c r="M97" i="9"/>
  <c r="L97" i="9"/>
  <c r="K97" i="9"/>
  <c r="J97" i="9"/>
  <c r="I97" i="9"/>
  <c r="H97" i="9"/>
  <c r="G97" i="9"/>
  <c r="F97" i="9"/>
  <c r="AD96" i="9"/>
  <c r="F92" i="9"/>
  <c r="F89" i="9"/>
  <c r="F90" i="9"/>
  <c r="G88" i="9"/>
  <c r="G89" i="9"/>
  <c r="G90" i="9"/>
  <c r="G92" i="9"/>
  <c r="H88" i="9"/>
  <c r="H92" i="9"/>
  <c r="H89" i="9"/>
  <c r="H90" i="9"/>
  <c r="I88" i="9"/>
  <c r="I92" i="9"/>
  <c r="I89" i="9"/>
  <c r="I90" i="9"/>
  <c r="J88" i="9"/>
  <c r="J92" i="9"/>
  <c r="J89" i="9"/>
  <c r="J90" i="9"/>
  <c r="K88" i="9"/>
  <c r="K92" i="9"/>
  <c r="K89" i="9"/>
  <c r="K90" i="9"/>
  <c r="L88" i="9"/>
  <c r="L92" i="9"/>
  <c r="L89" i="9"/>
  <c r="L90" i="9"/>
  <c r="M88" i="9"/>
  <c r="M92" i="9"/>
  <c r="M89" i="9"/>
  <c r="M90" i="9"/>
  <c r="N88" i="9"/>
  <c r="N92" i="9"/>
  <c r="N89" i="9"/>
  <c r="N90" i="9"/>
  <c r="O88" i="9"/>
  <c r="O92" i="9"/>
  <c r="O89" i="9"/>
  <c r="O90" i="9"/>
  <c r="P88" i="9"/>
  <c r="P92" i="9"/>
  <c r="P89" i="9"/>
  <c r="P90" i="9"/>
  <c r="Q88" i="9"/>
  <c r="Q92" i="9"/>
  <c r="Q89" i="9"/>
  <c r="Q90" i="9"/>
  <c r="R88" i="9"/>
  <c r="R92" i="9"/>
  <c r="R89" i="9"/>
  <c r="R90" i="9"/>
  <c r="S88" i="9"/>
  <c r="S92" i="9"/>
  <c r="S89" i="9"/>
  <c r="S90" i="9"/>
  <c r="T88" i="9"/>
  <c r="T92" i="9"/>
  <c r="T89" i="9"/>
  <c r="T90" i="9"/>
  <c r="U88" i="9"/>
  <c r="U92" i="9"/>
  <c r="U89" i="9"/>
  <c r="U90" i="9"/>
  <c r="V88" i="9"/>
  <c r="V92" i="9"/>
  <c r="V89" i="9"/>
  <c r="V90" i="9"/>
  <c r="W88" i="9"/>
  <c r="W92" i="9"/>
  <c r="W89" i="9"/>
  <c r="W90" i="9"/>
  <c r="X88" i="9"/>
  <c r="X92" i="9"/>
  <c r="X89" i="9"/>
  <c r="X90" i="9"/>
  <c r="Y88" i="9"/>
  <c r="Y92" i="9"/>
  <c r="Y89" i="9"/>
  <c r="Y90" i="9"/>
  <c r="Y93" i="9"/>
  <c r="X93" i="9"/>
  <c r="W93" i="9"/>
  <c r="V93" i="9"/>
  <c r="U93" i="9"/>
  <c r="T93" i="9"/>
  <c r="S93" i="9"/>
  <c r="R93" i="9"/>
  <c r="Q93" i="9"/>
  <c r="P93" i="9"/>
  <c r="O93" i="9"/>
  <c r="N93" i="9"/>
  <c r="M93" i="9"/>
  <c r="L93" i="9"/>
  <c r="K93" i="9"/>
  <c r="J93" i="9"/>
  <c r="I93" i="9"/>
  <c r="H93" i="9"/>
  <c r="G93" i="9"/>
  <c r="F93" i="9"/>
  <c r="F88" i="9"/>
  <c r="AD87" i="9"/>
  <c r="AC87" i="9"/>
  <c r="AB87" i="9"/>
  <c r="AA87" i="9"/>
  <c r="Y87" i="9"/>
  <c r="X87" i="9"/>
  <c r="W87" i="9"/>
  <c r="V87" i="9"/>
  <c r="U87" i="9"/>
  <c r="T87" i="9"/>
  <c r="S87" i="9"/>
  <c r="R87" i="9"/>
  <c r="Q87" i="9"/>
  <c r="P87" i="9"/>
  <c r="O87" i="9"/>
  <c r="N87" i="9"/>
  <c r="M87" i="9"/>
  <c r="L87" i="9"/>
  <c r="K87" i="9"/>
  <c r="J87" i="9"/>
  <c r="I87" i="9"/>
  <c r="H87" i="9"/>
  <c r="G87" i="9"/>
  <c r="F87" i="9"/>
  <c r="C87" i="9"/>
  <c r="X83" i="9"/>
  <c r="X84" i="9"/>
  <c r="Y83" i="9"/>
  <c r="Y84" i="9"/>
  <c r="Z83" i="9"/>
  <c r="Z84" i="9"/>
  <c r="AA83" i="9"/>
  <c r="AA84" i="9"/>
  <c r="AB83" i="9"/>
  <c r="AB84" i="9"/>
  <c r="AC83" i="9"/>
  <c r="AC84" i="9"/>
  <c r="AD83" i="9"/>
  <c r="AD84" i="9"/>
  <c r="F83" i="9"/>
  <c r="D80" i="9"/>
  <c r="AC70" i="9"/>
  <c r="AC71" i="9"/>
  <c r="D41" i="9"/>
  <c r="AB70" i="9"/>
  <c r="AB71" i="9"/>
  <c r="D32" i="9"/>
  <c r="AA70" i="9"/>
  <c r="AA71" i="9"/>
  <c r="D33" i="9"/>
  <c r="Z70" i="9"/>
  <c r="Z71" i="9"/>
  <c r="AH54" i="9"/>
  <c r="AI54" i="9"/>
  <c r="G54" i="9"/>
  <c r="H54" i="9"/>
  <c r="I54" i="9"/>
  <c r="J54" i="9"/>
  <c r="K54" i="9"/>
  <c r="L54" i="9"/>
  <c r="M54" i="9"/>
  <c r="N54" i="9"/>
  <c r="O54" i="9"/>
  <c r="P54" i="9"/>
  <c r="Q54" i="9"/>
  <c r="R54" i="9"/>
  <c r="S54" i="9"/>
  <c r="T54" i="9"/>
  <c r="U54" i="9"/>
  <c r="V54" i="9"/>
  <c r="W54" i="9"/>
  <c r="X54" i="9"/>
  <c r="Y54" i="9"/>
  <c r="Z54" i="9"/>
  <c r="AA54" i="9"/>
  <c r="AB54" i="9"/>
  <c r="AC54" i="9"/>
  <c r="AD54" i="9"/>
  <c r="AE54" i="9"/>
  <c r="AH53" i="9"/>
  <c r="AI53" i="9"/>
  <c r="I53" i="9"/>
  <c r="J53" i="9"/>
  <c r="K53" i="9"/>
  <c r="L53" i="9"/>
  <c r="M53" i="9"/>
  <c r="N53" i="9"/>
  <c r="O53" i="9"/>
  <c r="P53" i="9"/>
  <c r="Q53" i="9"/>
  <c r="R53" i="9"/>
  <c r="S53" i="9"/>
  <c r="T53" i="9"/>
  <c r="U53" i="9"/>
  <c r="V53" i="9"/>
  <c r="W53" i="9"/>
  <c r="X53" i="9"/>
  <c r="Y53" i="9"/>
  <c r="Z53" i="9"/>
  <c r="AA53" i="9"/>
  <c r="AB53" i="9"/>
  <c r="AC53" i="9"/>
  <c r="AD53" i="9"/>
  <c r="AE53" i="9"/>
  <c r="AH52" i="9"/>
  <c r="AI52" i="9"/>
  <c r="H52" i="9"/>
  <c r="I52" i="9"/>
  <c r="J52" i="9"/>
  <c r="K52" i="9"/>
  <c r="L52" i="9"/>
  <c r="M52" i="9"/>
  <c r="N52" i="9"/>
  <c r="O52" i="9"/>
  <c r="P52" i="9"/>
  <c r="Q52" i="9"/>
  <c r="R52" i="9"/>
  <c r="S52" i="9"/>
  <c r="T52" i="9"/>
  <c r="U52" i="9"/>
  <c r="V52" i="9"/>
  <c r="W52" i="9"/>
  <c r="X52" i="9"/>
  <c r="Y52" i="9"/>
  <c r="Z52" i="9"/>
  <c r="AA52" i="9"/>
  <c r="AB52" i="9"/>
  <c r="AC52" i="9"/>
  <c r="AD52" i="9"/>
  <c r="AE52" i="9"/>
  <c r="AH51" i="9"/>
  <c r="AI51" i="9"/>
  <c r="G51" i="9"/>
  <c r="H51" i="9"/>
  <c r="I51" i="9"/>
  <c r="J51" i="9"/>
  <c r="K51" i="9"/>
  <c r="L51" i="9"/>
  <c r="M51" i="9"/>
  <c r="N51" i="9"/>
  <c r="O51" i="9"/>
  <c r="P51" i="9"/>
  <c r="Q51" i="9"/>
  <c r="R51" i="9"/>
  <c r="S51" i="9"/>
  <c r="T51" i="9"/>
  <c r="U51" i="9"/>
  <c r="V51" i="9"/>
  <c r="W51" i="9"/>
  <c r="X51" i="9"/>
  <c r="Y51" i="9"/>
  <c r="Z51" i="9"/>
  <c r="AA51" i="9"/>
  <c r="AB51" i="9"/>
  <c r="AC51" i="9"/>
  <c r="AD51" i="9"/>
  <c r="AE51" i="9"/>
  <c r="E43" i="9"/>
  <c r="Z43" i="9"/>
  <c r="C42" i="9"/>
  <c r="D42" i="9"/>
  <c r="C41" i="9"/>
  <c r="E41" i="9"/>
  <c r="Z41" i="9"/>
  <c r="C39" i="9"/>
  <c r="C36" i="9"/>
  <c r="D36" i="9"/>
  <c r="D35" i="9"/>
  <c r="C35" i="9"/>
  <c r="E34" i="9"/>
  <c r="D34" i="9"/>
  <c r="C34" i="9"/>
  <c r="C33" i="9"/>
  <c r="E33" i="9"/>
  <c r="Z33" i="9"/>
  <c r="E32" i="9"/>
  <c r="Z32" i="9"/>
  <c r="B32" i="9"/>
  <c r="D26" i="9"/>
  <c r="D22" i="9"/>
  <c r="D10" i="9"/>
  <c r="K18" i="2"/>
  <c r="K19" i="2"/>
  <c r="K20" i="2"/>
  <c r="K17" i="2"/>
  <c r="H13" i="2"/>
  <c r="H14" i="2"/>
  <c r="H16" i="2"/>
  <c r="K16" i="2"/>
  <c r="K14" i="2"/>
  <c r="K13" i="2"/>
  <c r="K12" i="2"/>
  <c r="G130" i="8"/>
  <c r="H130" i="8"/>
  <c r="I130" i="8"/>
  <c r="J130" i="8"/>
  <c r="K130" i="8"/>
  <c r="L130" i="8"/>
  <c r="M130" i="8"/>
  <c r="N130" i="8"/>
  <c r="O130" i="8"/>
  <c r="P130" i="8"/>
  <c r="Q130" i="8"/>
  <c r="R130" i="8"/>
  <c r="S130" i="8"/>
  <c r="T130" i="8"/>
  <c r="U130" i="8"/>
  <c r="V130" i="8"/>
  <c r="W130" i="8"/>
  <c r="X130" i="8"/>
  <c r="Y130" i="8"/>
  <c r="Z130" i="8"/>
  <c r="AA130" i="8"/>
  <c r="AB130" i="8"/>
  <c r="AC130" i="8"/>
  <c r="AD130" i="8"/>
  <c r="AC126" i="8"/>
  <c r="AB126" i="8"/>
  <c r="AA126" i="8"/>
  <c r="Z126" i="8"/>
  <c r="Y126" i="8"/>
  <c r="X126" i="8"/>
  <c r="W126" i="8"/>
  <c r="V126" i="8"/>
  <c r="U126" i="8"/>
  <c r="T126" i="8"/>
  <c r="S126" i="8"/>
  <c r="R126" i="8"/>
  <c r="Q126" i="8"/>
  <c r="P126" i="8"/>
  <c r="O126" i="8"/>
  <c r="N126" i="8"/>
  <c r="M126" i="8"/>
  <c r="L126" i="8"/>
  <c r="K126" i="8"/>
  <c r="J126" i="8"/>
  <c r="I126" i="8"/>
  <c r="H126" i="8"/>
  <c r="G126" i="8"/>
  <c r="F126" i="8"/>
  <c r="F124" i="8"/>
  <c r="C11" i="8"/>
  <c r="AD122" i="8"/>
  <c r="AC122" i="8"/>
  <c r="AB122" i="8"/>
  <c r="AA122" i="8"/>
  <c r="Z122" i="8"/>
  <c r="Y122" i="8"/>
  <c r="X122" i="8"/>
  <c r="W122" i="8"/>
  <c r="V122" i="8"/>
  <c r="U122" i="8"/>
  <c r="T122" i="8"/>
  <c r="S122" i="8"/>
  <c r="R122" i="8"/>
  <c r="Q122" i="8"/>
  <c r="P122" i="8"/>
  <c r="O122" i="8"/>
  <c r="N122" i="8"/>
  <c r="M122" i="8"/>
  <c r="L122" i="8"/>
  <c r="K122" i="8"/>
  <c r="J122" i="8"/>
  <c r="I122" i="8"/>
  <c r="H122" i="8"/>
  <c r="G122" i="8"/>
  <c r="F122" i="8"/>
  <c r="AI121" i="8"/>
  <c r="AH121" i="8"/>
  <c r="AH115" i="8"/>
  <c r="AH119" i="8"/>
  <c r="AI115" i="8"/>
  <c r="AI119" i="8"/>
  <c r="G115" i="8"/>
  <c r="F115" i="8"/>
  <c r="F116" i="8"/>
  <c r="F117" i="8"/>
  <c r="F118" i="8"/>
  <c r="F119" i="8"/>
  <c r="G116" i="8"/>
  <c r="G117" i="8"/>
  <c r="G118" i="8"/>
  <c r="G119" i="8"/>
  <c r="I115" i="8"/>
  <c r="H115" i="8"/>
  <c r="H116" i="8"/>
  <c r="H117" i="8"/>
  <c r="H118" i="8"/>
  <c r="H119" i="8"/>
  <c r="I116" i="8"/>
  <c r="I117" i="8"/>
  <c r="I118" i="8"/>
  <c r="I119" i="8"/>
  <c r="K115" i="8"/>
  <c r="J115" i="8"/>
  <c r="J116" i="8"/>
  <c r="J117" i="8"/>
  <c r="J118" i="8"/>
  <c r="J119" i="8"/>
  <c r="K116" i="8"/>
  <c r="K117" i="8"/>
  <c r="K118" i="8"/>
  <c r="K119" i="8"/>
  <c r="M115" i="8"/>
  <c r="L115" i="8"/>
  <c r="L116" i="8"/>
  <c r="L117" i="8"/>
  <c r="L118" i="8"/>
  <c r="L119" i="8"/>
  <c r="M116" i="8"/>
  <c r="M117" i="8"/>
  <c r="M118" i="8"/>
  <c r="M119" i="8"/>
  <c r="O115" i="8"/>
  <c r="N115" i="8"/>
  <c r="N116" i="8"/>
  <c r="N117" i="8"/>
  <c r="N118" i="8"/>
  <c r="N119" i="8"/>
  <c r="O116" i="8"/>
  <c r="O117" i="8"/>
  <c r="O118" i="8"/>
  <c r="O119" i="8"/>
  <c r="Q115" i="8"/>
  <c r="P115" i="8"/>
  <c r="P116" i="8"/>
  <c r="P117" i="8"/>
  <c r="P118" i="8"/>
  <c r="P119" i="8"/>
  <c r="Q116" i="8"/>
  <c r="Q117" i="8"/>
  <c r="Q118" i="8"/>
  <c r="Q119" i="8"/>
  <c r="S115" i="8"/>
  <c r="R115" i="8"/>
  <c r="R116" i="8"/>
  <c r="R117" i="8"/>
  <c r="R118" i="8"/>
  <c r="R119" i="8"/>
  <c r="S116" i="8"/>
  <c r="S117" i="8"/>
  <c r="S118" i="8"/>
  <c r="S119" i="8"/>
  <c r="U115" i="8"/>
  <c r="T115" i="8"/>
  <c r="T116" i="8"/>
  <c r="T117" i="8"/>
  <c r="T118" i="8"/>
  <c r="T119" i="8"/>
  <c r="U116" i="8"/>
  <c r="U117" i="8"/>
  <c r="U118" i="8"/>
  <c r="U119" i="8"/>
  <c r="W115" i="8"/>
  <c r="V115" i="8"/>
  <c r="V116" i="8"/>
  <c r="V117" i="8"/>
  <c r="V118" i="8"/>
  <c r="V119" i="8"/>
  <c r="W116" i="8"/>
  <c r="W117" i="8"/>
  <c r="W118" i="8"/>
  <c r="W119" i="8"/>
  <c r="Y115" i="8"/>
  <c r="X115" i="8"/>
  <c r="X116" i="8"/>
  <c r="X117" i="8"/>
  <c r="X118" i="8"/>
  <c r="X119" i="8"/>
  <c r="Y116" i="8"/>
  <c r="Y117" i="8"/>
  <c r="Y118" i="8"/>
  <c r="Y119" i="8"/>
  <c r="AA115" i="8"/>
  <c r="Z115" i="8"/>
  <c r="Z116" i="8"/>
  <c r="Z117" i="8"/>
  <c r="Z118" i="8"/>
  <c r="Z119" i="8"/>
  <c r="AA116" i="8"/>
  <c r="AA117" i="8"/>
  <c r="AA118" i="8"/>
  <c r="AA119" i="8"/>
  <c r="AC115" i="8"/>
  <c r="AB115" i="8"/>
  <c r="AB116" i="8"/>
  <c r="AB117" i="8"/>
  <c r="AB118" i="8"/>
  <c r="AB119" i="8"/>
  <c r="AC116" i="8"/>
  <c r="AC117" i="8"/>
  <c r="AC118" i="8"/>
  <c r="AC119" i="8"/>
  <c r="AE115" i="8"/>
  <c r="AD115" i="8"/>
  <c r="AD116" i="8"/>
  <c r="AD117" i="8"/>
  <c r="AD118" i="8"/>
  <c r="AD119" i="8"/>
  <c r="AE116" i="8"/>
  <c r="AE117" i="8"/>
  <c r="AE118" i="8"/>
  <c r="AE119" i="8"/>
  <c r="AI116" i="8"/>
  <c r="AI117" i="8"/>
  <c r="AI118" i="8"/>
  <c r="AH116" i="8"/>
  <c r="AH117" i="8"/>
  <c r="AH118" i="8"/>
  <c r="F110" i="8"/>
  <c r="F111" i="8"/>
  <c r="F112" i="8"/>
  <c r="F113" i="8"/>
  <c r="F114" i="8"/>
  <c r="G110" i="8"/>
  <c r="G111" i="8"/>
  <c r="G112" i="8"/>
  <c r="G113" i="8"/>
  <c r="G114" i="8"/>
  <c r="H110" i="8"/>
  <c r="H111" i="8"/>
  <c r="H112" i="8"/>
  <c r="H113" i="8"/>
  <c r="H114" i="8"/>
  <c r="I110" i="8"/>
  <c r="I111" i="8"/>
  <c r="I112" i="8"/>
  <c r="I113" i="8"/>
  <c r="I114" i="8"/>
  <c r="J110" i="8"/>
  <c r="J111" i="8"/>
  <c r="J112" i="8"/>
  <c r="J113" i="8"/>
  <c r="J114" i="8"/>
  <c r="K110" i="8"/>
  <c r="K111" i="8"/>
  <c r="K112" i="8"/>
  <c r="K113" i="8"/>
  <c r="K114" i="8"/>
  <c r="L110" i="8"/>
  <c r="L111" i="8"/>
  <c r="L112" i="8"/>
  <c r="L113" i="8"/>
  <c r="L114" i="8"/>
  <c r="M110" i="8"/>
  <c r="M111" i="8"/>
  <c r="M112" i="8"/>
  <c r="M113" i="8"/>
  <c r="M114" i="8"/>
  <c r="N110" i="8"/>
  <c r="N111" i="8"/>
  <c r="N112" i="8"/>
  <c r="N113" i="8"/>
  <c r="N114" i="8"/>
  <c r="O110" i="8"/>
  <c r="O111" i="8"/>
  <c r="O112" i="8"/>
  <c r="O113" i="8"/>
  <c r="O114" i="8"/>
  <c r="AI112" i="8"/>
  <c r="AH112" i="8"/>
  <c r="AE112" i="8"/>
  <c r="AD112" i="8"/>
  <c r="AC112" i="8"/>
  <c r="AB112" i="8"/>
  <c r="AA112" i="8"/>
  <c r="Z112" i="8"/>
  <c r="Y112" i="8"/>
  <c r="X112" i="8"/>
  <c r="W112" i="8"/>
  <c r="V112" i="8"/>
  <c r="U112" i="8"/>
  <c r="T112" i="8"/>
  <c r="S112" i="8"/>
  <c r="R112" i="8"/>
  <c r="Q112" i="8"/>
  <c r="P112" i="8"/>
  <c r="AD111" i="8"/>
  <c r="AC111" i="8"/>
  <c r="AB111" i="8"/>
  <c r="AA111" i="8"/>
  <c r="Z111" i="8"/>
  <c r="Y111" i="8"/>
  <c r="X111" i="8"/>
  <c r="W111" i="8"/>
  <c r="V111" i="8"/>
  <c r="U111" i="8"/>
  <c r="T111" i="8"/>
  <c r="S111" i="8"/>
  <c r="R111" i="8"/>
  <c r="Q111" i="8"/>
  <c r="P111" i="8"/>
  <c r="D110" i="8"/>
  <c r="C109" i="8"/>
  <c r="AH107" i="8"/>
  <c r="AI107" i="8"/>
  <c r="J107" i="8"/>
  <c r="F107" i="8"/>
  <c r="K107" i="8"/>
  <c r="L107" i="8"/>
  <c r="M107" i="8"/>
  <c r="N107" i="8"/>
  <c r="O107" i="8"/>
  <c r="P107" i="8"/>
  <c r="Q107" i="8"/>
  <c r="R107" i="8"/>
  <c r="S107" i="8"/>
  <c r="T107" i="8"/>
  <c r="U107" i="8"/>
  <c r="V107" i="8"/>
  <c r="W107" i="8"/>
  <c r="X107" i="8"/>
  <c r="Y107" i="8"/>
  <c r="Z107" i="8"/>
  <c r="AA107" i="8"/>
  <c r="AB107" i="8"/>
  <c r="AC107" i="8"/>
  <c r="AD107" i="8"/>
  <c r="AE107" i="8"/>
  <c r="I107" i="8"/>
  <c r="H107" i="8"/>
  <c r="G107" i="8"/>
  <c r="D107" i="8"/>
  <c r="AH105" i="8"/>
  <c r="AI105" i="8"/>
  <c r="AI106" i="8"/>
  <c r="AH106" i="8"/>
  <c r="AE106" i="8"/>
  <c r="F105" i="8"/>
  <c r="G105" i="8"/>
  <c r="H105" i="8"/>
  <c r="I105" i="8"/>
  <c r="J105" i="8"/>
  <c r="K105" i="8"/>
  <c r="L105" i="8"/>
  <c r="M105" i="8"/>
  <c r="N105" i="8"/>
  <c r="O105" i="8"/>
  <c r="P105" i="8"/>
  <c r="Q105" i="8"/>
  <c r="R105" i="8"/>
  <c r="S105" i="8"/>
  <c r="T105" i="8"/>
  <c r="U105" i="8"/>
  <c r="V105" i="8"/>
  <c r="W105" i="8"/>
  <c r="X105" i="8"/>
  <c r="Y105" i="8"/>
  <c r="Z105" i="8"/>
  <c r="AA105" i="8"/>
  <c r="AB105" i="8"/>
  <c r="AC105" i="8"/>
  <c r="AD105" i="8"/>
  <c r="AD106" i="8"/>
  <c r="AC106" i="8"/>
  <c r="AB106" i="8"/>
  <c r="AA106" i="8"/>
  <c r="Z106" i="8"/>
  <c r="Y106" i="8"/>
  <c r="X106" i="8"/>
  <c r="W106" i="8"/>
  <c r="V106" i="8"/>
  <c r="U106" i="8"/>
  <c r="T106" i="8"/>
  <c r="S106" i="8"/>
  <c r="R106" i="8"/>
  <c r="Q106" i="8"/>
  <c r="P106" i="8"/>
  <c r="O106" i="8"/>
  <c r="N106" i="8"/>
  <c r="M106" i="8"/>
  <c r="L106" i="8"/>
  <c r="K106" i="8"/>
  <c r="J106" i="8"/>
  <c r="I106" i="8"/>
  <c r="H106" i="8"/>
  <c r="G106" i="8"/>
  <c r="F106" i="8"/>
  <c r="AI104" i="8"/>
  <c r="AH104" i="8"/>
  <c r="AD104" i="8"/>
  <c r="AC104" i="8"/>
  <c r="AB104" i="8"/>
  <c r="AA104" i="8"/>
  <c r="Z104" i="8"/>
  <c r="Y104" i="8"/>
  <c r="X104" i="8"/>
  <c r="W104" i="8"/>
  <c r="V104" i="8"/>
  <c r="U104" i="8"/>
  <c r="T104" i="8"/>
  <c r="S104" i="8"/>
  <c r="R104" i="8"/>
  <c r="Q104" i="8"/>
  <c r="P104" i="8"/>
  <c r="O104" i="8"/>
  <c r="N104" i="8"/>
  <c r="M104" i="8"/>
  <c r="L104" i="8"/>
  <c r="K104" i="8"/>
  <c r="J104" i="8"/>
  <c r="I104" i="8"/>
  <c r="H104" i="8"/>
  <c r="G104" i="8"/>
  <c r="F104" i="8"/>
  <c r="AI103" i="8"/>
  <c r="AH103" i="8"/>
  <c r="AD103" i="8"/>
  <c r="AC103" i="8"/>
  <c r="AB103" i="8"/>
  <c r="AA103" i="8"/>
  <c r="Z103" i="8"/>
  <c r="Y103" i="8"/>
  <c r="X103" i="8"/>
  <c r="W103" i="8"/>
  <c r="V103" i="8"/>
  <c r="U103" i="8"/>
  <c r="T103" i="8"/>
  <c r="S103" i="8"/>
  <c r="R103" i="8"/>
  <c r="Q103" i="8"/>
  <c r="P103" i="8"/>
  <c r="O103" i="8"/>
  <c r="N103" i="8"/>
  <c r="M103" i="8"/>
  <c r="L103" i="8"/>
  <c r="K103" i="8"/>
  <c r="J103" i="8"/>
  <c r="I103" i="8"/>
  <c r="H103" i="8"/>
  <c r="G103" i="8"/>
  <c r="F103" i="8"/>
  <c r="O102" i="8"/>
  <c r="N102" i="8"/>
  <c r="M102" i="8"/>
  <c r="L102" i="8"/>
  <c r="K102" i="8"/>
  <c r="J102" i="8"/>
  <c r="I102" i="8"/>
  <c r="H102" i="8"/>
  <c r="G102" i="8"/>
  <c r="F102" i="8"/>
  <c r="D81" i="8"/>
  <c r="F96" i="8"/>
  <c r="F84" i="8"/>
  <c r="F85" i="8"/>
  <c r="G83" i="8"/>
  <c r="G73" i="8"/>
  <c r="G96" i="8"/>
  <c r="G84" i="8"/>
  <c r="G85" i="8"/>
  <c r="H83" i="8"/>
  <c r="H73" i="8"/>
  <c r="H96" i="8"/>
  <c r="H84" i="8"/>
  <c r="H85" i="8"/>
  <c r="I83" i="8"/>
  <c r="I73" i="8"/>
  <c r="I96" i="8"/>
  <c r="I84" i="8"/>
  <c r="I85" i="8"/>
  <c r="J83" i="8"/>
  <c r="J73" i="8"/>
  <c r="J96" i="8"/>
  <c r="J84" i="8"/>
  <c r="J85" i="8"/>
  <c r="K83" i="8"/>
  <c r="K73" i="8"/>
  <c r="K96" i="8"/>
  <c r="K84" i="8"/>
  <c r="K85" i="8"/>
  <c r="L83" i="8"/>
  <c r="L73" i="8"/>
  <c r="L96" i="8"/>
  <c r="L84" i="8"/>
  <c r="L85" i="8"/>
  <c r="M83" i="8"/>
  <c r="M73" i="8"/>
  <c r="M96" i="8"/>
  <c r="M84" i="8"/>
  <c r="M85" i="8"/>
  <c r="N83" i="8"/>
  <c r="N73" i="8"/>
  <c r="N96" i="8"/>
  <c r="N84" i="8"/>
  <c r="N85" i="8"/>
  <c r="O83" i="8"/>
  <c r="O73" i="8"/>
  <c r="O96" i="8"/>
  <c r="O84" i="8"/>
  <c r="O85" i="8"/>
  <c r="P83" i="8"/>
  <c r="P73" i="8"/>
  <c r="P96" i="8"/>
  <c r="P84" i="8"/>
  <c r="P85" i="8"/>
  <c r="Q83" i="8"/>
  <c r="Q73" i="8"/>
  <c r="Q96" i="8"/>
  <c r="Q84" i="8"/>
  <c r="Q85" i="8"/>
  <c r="R83" i="8"/>
  <c r="R73" i="8"/>
  <c r="R96" i="8"/>
  <c r="R84" i="8"/>
  <c r="R85" i="8"/>
  <c r="S83" i="8"/>
  <c r="S73" i="8"/>
  <c r="S96" i="8"/>
  <c r="S84" i="8"/>
  <c r="S85" i="8"/>
  <c r="T83" i="8"/>
  <c r="T73" i="8"/>
  <c r="T96" i="8"/>
  <c r="T84" i="8"/>
  <c r="T85" i="8"/>
  <c r="U83" i="8"/>
  <c r="U73" i="8"/>
  <c r="U96" i="8"/>
  <c r="U84" i="8"/>
  <c r="U85" i="8"/>
  <c r="V83" i="8"/>
  <c r="V73" i="8"/>
  <c r="V96" i="8"/>
  <c r="V84" i="8"/>
  <c r="V85" i="8"/>
  <c r="W83" i="8"/>
  <c r="W73" i="8"/>
  <c r="W96" i="8"/>
  <c r="W84" i="8"/>
  <c r="W85" i="8"/>
  <c r="X83" i="8"/>
  <c r="X73" i="8"/>
  <c r="X96" i="8"/>
  <c r="X84" i="8"/>
  <c r="X85" i="8"/>
  <c r="Y73" i="8"/>
  <c r="Y83" i="8"/>
  <c r="Y96" i="8"/>
  <c r="Y84" i="8"/>
  <c r="Y85" i="8"/>
  <c r="Z73" i="8"/>
  <c r="Z83" i="8"/>
  <c r="Z96" i="8"/>
  <c r="Z84" i="8"/>
  <c r="Z85" i="8"/>
  <c r="AA73" i="8"/>
  <c r="AA83" i="8"/>
  <c r="AA96" i="8"/>
  <c r="AA84" i="8"/>
  <c r="AA85" i="8"/>
  <c r="AB73" i="8"/>
  <c r="AB83" i="8"/>
  <c r="AB96" i="8"/>
  <c r="AB84" i="8"/>
  <c r="AB85" i="8"/>
  <c r="AC73" i="8"/>
  <c r="AC83" i="8"/>
  <c r="AC96" i="8"/>
  <c r="AC84" i="8"/>
  <c r="AC85" i="8"/>
  <c r="AD73" i="8"/>
  <c r="AD83" i="8"/>
  <c r="AD96" i="8"/>
  <c r="AD84" i="8"/>
  <c r="AD85" i="8"/>
  <c r="AD97" i="8"/>
  <c r="AC97" i="8"/>
  <c r="AB97" i="8"/>
  <c r="AA97" i="8"/>
  <c r="Z97" i="8"/>
  <c r="Y97" i="8"/>
  <c r="X97" i="8"/>
  <c r="W97" i="8"/>
  <c r="V97" i="8"/>
  <c r="U97" i="8"/>
  <c r="T97" i="8"/>
  <c r="S97" i="8"/>
  <c r="R97" i="8"/>
  <c r="Q97" i="8"/>
  <c r="P97" i="8"/>
  <c r="O97" i="8"/>
  <c r="N97" i="8"/>
  <c r="M97" i="8"/>
  <c r="L97" i="8"/>
  <c r="K97" i="8"/>
  <c r="J97" i="8"/>
  <c r="I97" i="8"/>
  <c r="H97" i="8"/>
  <c r="G97" i="8"/>
  <c r="F97" i="8"/>
  <c r="F92" i="8"/>
  <c r="F89" i="8"/>
  <c r="F90" i="8"/>
  <c r="G88" i="8"/>
  <c r="G89" i="8"/>
  <c r="G90" i="8"/>
  <c r="G92" i="8"/>
  <c r="H88" i="8"/>
  <c r="H92" i="8"/>
  <c r="H89" i="8"/>
  <c r="H90" i="8"/>
  <c r="I88" i="8"/>
  <c r="I92" i="8"/>
  <c r="I89" i="8"/>
  <c r="I90" i="8"/>
  <c r="J88" i="8"/>
  <c r="J92" i="8"/>
  <c r="J89" i="8"/>
  <c r="J90" i="8"/>
  <c r="K88" i="8"/>
  <c r="K92" i="8"/>
  <c r="K89" i="8"/>
  <c r="K90" i="8"/>
  <c r="L88" i="8"/>
  <c r="L92" i="8"/>
  <c r="L89" i="8"/>
  <c r="L90" i="8"/>
  <c r="M88" i="8"/>
  <c r="M92" i="8"/>
  <c r="M89" i="8"/>
  <c r="M90" i="8"/>
  <c r="N88" i="8"/>
  <c r="N92" i="8"/>
  <c r="N89" i="8"/>
  <c r="N90" i="8"/>
  <c r="O88" i="8"/>
  <c r="O92" i="8"/>
  <c r="O89" i="8"/>
  <c r="O90" i="8"/>
  <c r="P88" i="8"/>
  <c r="P92" i="8"/>
  <c r="P89" i="8"/>
  <c r="P90" i="8"/>
  <c r="Q88" i="8"/>
  <c r="Q92" i="8"/>
  <c r="Q89" i="8"/>
  <c r="Q90" i="8"/>
  <c r="R88" i="8"/>
  <c r="R92" i="8"/>
  <c r="R89" i="8"/>
  <c r="R90" i="8"/>
  <c r="S88" i="8"/>
  <c r="S92" i="8"/>
  <c r="S89" i="8"/>
  <c r="S90" i="8"/>
  <c r="T88" i="8"/>
  <c r="T92" i="8"/>
  <c r="T89" i="8"/>
  <c r="T90" i="8"/>
  <c r="U88" i="8"/>
  <c r="U92" i="8"/>
  <c r="U89" i="8"/>
  <c r="U90" i="8"/>
  <c r="V88" i="8"/>
  <c r="V92" i="8"/>
  <c r="V89" i="8"/>
  <c r="V90" i="8"/>
  <c r="W88" i="8"/>
  <c r="W92" i="8"/>
  <c r="W89" i="8"/>
  <c r="W90" i="8"/>
  <c r="X88" i="8"/>
  <c r="X92" i="8"/>
  <c r="X89" i="8"/>
  <c r="X90" i="8"/>
  <c r="Y88" i="8"/>
  <c r="Y92" i="8"/>
  <c r="Y89" i="8"/>
  <c r="Y90" i="8"/>
  <c r="Y93" i="8"/>
  <c r="X93" i="8"/>
  <c r="W93" i="8"/>
  <c r="V93" i="8"/>
  <c r="U93" i="8"/>
  <c r="T93" i="8"/>
  <c r="S93" i="8"/>
  <c r="R93" i="8"/>
  <c r="Q93" i="8"/>
  <c r="P93" i="8"/>
  <c r="O93" i="8"/>
  <c r="N93" i="8"/>
  <c r="M93" i="8"/>
  <c r="L93" i="8"/>
  <c r="K93" i="8"/>
  <c r="J93" i="8"/>
  <c r="I93" i="8"/>
  <c r="H93" i="8"/>
  <c r="G93" i="8"/>
  <c r="F93" i="8"/>
  <c r="F88" i="8"/>
  <c r="AD87" i="8"/>
  <c r="AC87" i="8"/>
  <c r="AB87" i="8"/>
  <c r="AA87" i="8"/>
  <c r="Y87" i="8"/>
  <c r="X87" i="8"/>
  <c r="W87" i="8"/>
  <c r="V87" i="8"/>
  <c r="U87" i="8"/>
  <c r="T87" i="8"/>
  <c r="S87" i="8"/>
  <c r="R87" i="8"/>
  <c r="Q87" i="8"/>
  <c r="P87" i="8"/>
  <c r="O87" i="8"/>
  <c r="N87" i="8"/>
  <c r="M87" i="8"/>
  <c r="L87" i="8"/>
  <c r="K87" i="8"/>
  <c r="J87" i="8"/>
  <c r="I87" i="8"/>
  <c r="H87" i="8"/>
  <c r="G87" i="8"/>
  <c r="F87" i="8"/>
  <c r="C87" i="8"/>
  <c r="F83" i="8"/>
  <c r="AD82" i="8"/>
  <c r="AC82" i="8"/>
  <c r="AB82" i="8"/>
  <c r="AA82" i="8"/>
  <c r="Z82" i="8"/>
  <c r="Y82" i="8"/>
  <c r="X82" i="8"/>
  <c r="W82" i="8"/>
  <c r="V82" i="8"/>
  <c r="U82" i="8"/>
  <c r="T82" i="8"/>
  <c r="S82" i="8"/>
  <c r="R82" i="8"/>
  <c r="Q82" i="8"/>
  <c r="P82" i="8"/>
  <c r="O82" i="8"/>
  <c r="N82" i="8"/>
  <c r="M82" i="8"/>
  <c r="L82" i="8"/>
  <c r="K82" i="8"/>
  <c r="J82" i="8"/>
  <c r="I82" i="8"/>
  <c r="H82" i="8"/>
  <c r="G82" i="8"/>
  <c r="F82" i="8"/>
  <c r="D80" i="8"/>
  <c r="D41" i="8"/>
  <c r="AB70" i="8"/>
  <c r="AB71" i="8"/>
  <c r="D32" i="8"/>
  <c r="AA70" i="8"/>
  <c r="AA71" i="8"/>
  <c r="D33" i="8"/>
  <c r="Z70" i="8"/>
  <c r="Z71" i="8"/>
  <c r="AH54" i="8"/>
  <c r="AI54" i="8"/>
  <c r="G54" i="8"/>
  <c r="H54" i="8"/>
  <c r="I54" i="8"/>
  <c r="J54" i="8"/>
  <c r="K54" i="8"/>
  <c r="L54" i="8"/>
  <c r="M54" i="8"/>
  <c r="N54" i="8"/>
  <c r="O54" i="8"/>
  <c r="P54" i="8"/>
  <c r="Q54" i="8"/>
  <c r="R54" i="8"/>
  <c r="S54" i="8"/>
  <c r="T54" i="8"/>
  <c r="U54" i="8"/>
  <c r="V54" i="8"/>
  <c r="W54" i="8"/>
  <c r="X54" i="8"/>
  <c r="Y54" i="8"/>
  <c r="Z54" i="8"/>
  <c r="AA54" i="8"/>
  <c r="AB54" i="8"/>
  <c r="AC54" i="8"/>
  <c r="AD54" i="8"/>
  <c r="AE54" i="8"/>
  <c r="AH53" i="8"/>
  <c r="AI53" i="8"/>
  <c r="I53" i="8"/>
  <c r="J53" i="8"/>
  <c r="K53" i="8"/>
  <c r="L53" i="8"/>
  <c r="M53" i="8"/>
  <c r="N53" i="8"/>
  <c r="O53" i="8"/>
  <c r="P53" i="8"/>
  <c r="Q53" i="8"/>
  <c r="R53" i="8"/>
  <c r="S53" i="8"/>
  <c r="T53" i="8"/>
  <c r="U53" i="8"/>
  <c r="V53" i="8"/>
  <c r="W53" i="8"/>
  <c r="X53" i="8"/>
  <c r="Y53" i="8"/>
  <c r="Z53" i="8"/>
  <c r="AA53" i="8"/>
  <c r="AB53" i="8"/>
  <c r="AC53" i="8"/>
  <c r="AD53" i="8"/>
  <c r="AE53" i="8"/>
  <c r="AH52" i="8"/>
  <c r="AI52" i="8"/>
  <c r="H52" i="8"/>
  <c r="I52" i="8"/>
  <c r="J52" i="8"/>
  <c r="K52" i="8"/>
  <c r="L52" i="8"/>
  <c r="M52" i="8"/>
  <c r="N52" i="8"/>
  <c r="O52" i="8"/>
  <c r="P52" i="8"/>
  <c r="Q52" i="8"/>
  <c r="R52" i="8"/>
  <c r="S52" i="8"/>
  <c r="T52" i="8"/>
  <c r="U52" i="8"/>
  <c r="V52" i="8"/>
  <c r="W52" i="8"/>
  <c r="X52" i="8"/>
  <c r="Y52" i="8"/>
  <c r="Z52" i="8"/>
  <c r="AA52" i="8"/>
  <c r="AB52" i="8"/>
  <c r="AC52" i="8"/>
  <c r="AD52" i="8"/>
  <c r="AE52" i="8"/>
  <c r="AH51" i="8"/>
  <c r="AI51" i="8"/>
  <c r="G51" i="8"/>
  <c r="H51" i="8"/>
  <c r="I51" i="8"/>
  <c r="J51" i="8"/>
  <c r="K51" i="8"/>
  <c r="L51" i="8"/>
  <c r="M51" i="8"/>
  <c r="N51" i="8"/>
  <c r="O51" i="8"/>
  <c r="P51" i="8"/>
  <c r="Q51" i="8"/>
  <c r="R51" i="8"/>
  <c r="S51" i="8"/>
  <c r="T51" i="8"/>
  <c r="U51" i="8"/>
  <c r="V51" i="8"/>
  <c r="W51" i="8"/>
  <c r="X51" i="8"/>
  <c r="Y51" i="8"/>
  <c r="Z51" i="8"/>
  <c r="AA51" i="8"/>
  <c r="AB51" i="8"/>
  <c r="AC51" i="8"/>
  <c r="AD51" i="8"/>
  <c r="AE51" i="8"/>
  <c r="C43" i="8"/>
  <c r="Z43" i="8"/>
  <c r="J43" i="8"/>
  <c r="C42" i="8"/>
  <c r="J42" i="8"/>
  <c r="D42" i="8"/>
  <c r="C41" i="8"/>
  <c r="E41" i="8"/>
  <c r="Z41" i="8"/>
  <c r="G40" i="8"/>
  <c r="C40" i="8"/>
  <c r="C39" i="8"/>
  <c r="G38" i="8"/>
  <c r="C38" i="8"/>
  <c r="G37" i="8"/>
  <c r="C37" i="8"/>
  <c r="C36" i="8"/>
  <c r="J36" i="8"/>
  <c r="D36" i="8"/>
  <c r="D35" i="8"/>
  <c r="C35" i="8"/>
  <c r="E34" i="8"/>
  <c r="D34" i="8"/>
  <c r="C34" i="8"/>
  <c r="C33" i="8"/>
  <c r="E33" i="8"/>
  <c r="Z33" i="8"/>
  <c r="C32" i="8"/>
  <c r="E32" i="8"/>
  <c r="Z32" i="8"/>
  <c r="J32" i="8"/>
  <c r="B32" i="8"/>
  <c r="D26" i="8"/>
  <c r="D22" i="8"/>
  <c r="O10" i="8"/>
  <c r="Q10" i="8"/>
  <c r="R10" i="8"/>
  <c r="P10" i="8"/>
  <c r="J10" i="8"/>
  <c r="I10" i="8"/>
  <c r="D10" i="8"/>
  <c r="R4" i="8"/>
  <c r="Q4" i="8"/>
  <c r="P4" i="8"/>
  <c r="O4" i="8"/>
  <c r="J4" i="8"/>
  <c r="I4" i="8"/>
  <c r="E17" i="2"/>
  <c r="J75" i="1"/>
  <c r="K75" i="1"/>
  <c r="L75" i="1"/>
  <c r="M75" i="1"/>
  <c r="N75" i="1"/>
  <c r="O75" i="1"/>
  <c r="P75" i="1"/>
  <c r="Q75" i="1"/>
  <c r="R75" i="1"/>
  <c r="S75" i="1"/>
  <c r="T75" i="1"/>
  <c r="U75" i="1"/>
  <c r="V75" i="1"/>
  <c r="W75" i="1"/>
  <c r="X75" i="1"/>
  <c r="Y75" i="1"/>
  <c r="Z75" i="1"/>
  <c r="AA75" i="1"/>
  <c r="AB75" i="1"/>
  <c r="AC75" i="1"/>
  <c r="AD75" i="1"/>
  <c r="AD76" i="1"/>
  <c r="AC76" i="1"/>
  <c r="AB76" i="1"/>
  <c r="AA76" i="1"/>
  <c r="Z76" i="1"/>
  <c r="Y76" i="1"/>
  <c r="X76" i="1"/>
  <c r="W76" i="1"/>
  <c r="V76" i="1"/>
  <c r="U76" i="1"/>
  <c r="T76" i="1"/>
  <c r="S76" i="1"/>
  <c r="R76" i="1"/>
  <c r="Q76" i="1"/>
  <c r="P76" i="1"/>
  <c r="O76" i="1"/>
  <c r="N76" i="1"/>
  <c r="M76" i="1"/>
  <c r="L76" i="1"/>
  <c r="K76" i="1"/>
  <c r="J76" i="1"/>
  <c r="I76" i="1"/>
  <c r="G53" i="1"/>
  <c r="H53" i="1"/>
  <c r="H76" i="1"/>
  <c r="G52" i="1"/>
  <c r="G76" i="1"/>
  <c r="F78" i="1"/>
  <c r="G78" i="1"/>
  <c r="F79" i="1"/>
  <c r="G79" i="1"/>
  <c r="G77" i="1"/>
  <c r="C22" i="1"/>
  <c r="E4" i="1"/>
  <c r="C6" i="1"/>
  <c r="F76" i="1"/>
  <c r="F77" i="1"/>
  <c r="F121" i="1"/>
  <c r="C11" i="1"/>
  <c r="C26" i="1"/>
  <c r="C28" i="1"/>
  <c r="D85" i="1"/>
  <c r="G121" i="1"/>
  <c r="G73" i="1"/>
  <c r="H78" i="1"/>
  <c r="H79" i="1"/>
  <c r="H77" i="1"/>
  <c r="H121" i="1"/>
  <c r="H73" i="1"/>
  <c r="I78" i="1"/>
  <c r="I79" i="1"/>
  <c r="I77" i="1"/>
  <c r="I121" i="1"/>
  <c r="I73" i="1"/>
  <c r="F92" i="1"/>
  <c r="F89" i="1"/>
  <c r="F90" i="1"/>
  <c r="G88" i="1"/>
  <c r="G127" i="1"/>
  <c r="F127" i="1"/>
  <c r="F125" i="1"/>
  <c r="G89" i="1"/>
  <c r="G90" i="1"/>
  <c r="G92" i="1"/>
  <c r="H88" i="1"/>
  <c r="H92" i="1"/>
  <c r="H89" i="1"/>
  <c r="H90" i="1"/>
  <c r="I88" i="1"/>
  <c r="I92" i="1"/>
  <c r="I89" i="1"/>
  <c r="I90" i="1"/>
  <c r="G87" i="1"/>
  <c r="J78" i="1"/>
  <c r="K78" i="1"/>
  <c r="L78" i="1"/>
  <c r="M78" i="1"/>
  <c r="N78" i="1"/>
  <c r="O78" i="1"/>
  <c r="P78" i="1"/>
  <c r="Q78" i="1"/>
  <c r="R78" i="1"/>
  <c r="S78" i="1"/>
  <c r="T78" i="1"/>
  <c r="U78" i="1"/>
  <c r="V78" i="1"/>
  <c r="W78" i="1"/>
  <c r="X78" i="1"/>
  <c r="Y78" i="1"/>
  <c r="Z78" i="1"/>
  <c r="AA78" i="1"/>
  <c r="AB78" i="1"/>
  <c r="AC78" i="1"/>
  <c r="AD78" i="1"/>
  <c r="J79" i="1"/>
  <c r="K79" i="1"/>
  <c r="L79" i="1"/>
  <c r="M79" i="1"/>
  <c r="N79" i="1"/>
  <c r="O79" i="1"/>
  <c r="P79" i="1"/>
  <c r="Q79" i="1"/>
  <c r="R79" i="1"/>
  <c r="S79" i="1"/>
  <c r="T79" i="1"/>
  <c r="U79" i="1"/>
  <c r="V79" i="1"/>
  <c r="W79" i="1"/>
  <c r="X79" i="1"/>
  <c r="Y79" i="1"/>
  <c r="Z79" i="1"/>
  <c r="AA79" i="1"/>
  <c r="AB79" i="1"/>
  <c r="AC79" i="1"/>
  <c r="AD79" i="1"/>
  <c r="AD77" i="1"/>
  <c r="AD121" i="1"/>
  <c r="AD123" i="1"/>
  <c r="AC77" i="1"/>
  <c r="AC121" i="1"/>
  <c r="AC123" i="1"/>
  <c r="AB77" i="1"/>
  <c r="AB121" i="1"/>
  <c r="AB123" i="1"/>
  <c r="AA77" i="1"/>
  <c r="AA121" i="1"/>
  <c r="AA123" i="1"/>
  <c r="Z77" i="1"/>
  <c r="Z121" i="1"/>
  <c r="Z123" i="1"/>
  <c r="Y77" i="1"/>
  <c r="Y121" i="1"/>
  <c r="Y123" i="1"/>
  <c r="X77" i="1"/>
  <c r="X121" i="1"/>
  <c r="X123" i="1"/>
  <c r="W77" i="1"/>
  <c r="W121" i="1"/>
  <c r="W123" i="1"/>
  <c r="V77" i="1"/>
  <c r="V121" i="1"/>
  <c r="V123" i="1"/>
  <c r="U77" i="1"/>
  <c r="U121" i="1"/>
  <c r="U123" i="1"/>
  <c r="T77" i="1"/>
  <c r="T121" i="1"/>
  <c r="T123" i="1"/>
  <c r="S77" i="1"/>
  <c r="S121" i="1"/>
  <c r="S123" i="1"/>
  <c r="R77" i="1"/>
  <c r="R121" i="1"/>
  <c r="R123" i="1"/>
  <c r="Q77" i="1"/>
  <c r="Q121" i="1"/>
  <c r="Q123" i="1"/>
  <c r="P77" i="1"/>
  <c r="P121" i="1"/>
  <c r="P123" i="1"/>
  <c r="O77" i="1"/>
  <c r="O121" i="1"/>
  <c r="O123" i="1"/>
  <c r="N77" i="1"/>
  <c r="N121" i="1"/>
  <c r="N123" i="1"/>
  <c r="M77" i="1"/>
  <c r="M121" i="1"/>
  <c r="M123" i="1"/>
  <c r="L77" i="1"/>
  <c r="L121" i="1"/>
  <c r="L123" i="1"/>
  <c r="K77" i="1"/>
  <c r="K121" i="1"/>
  <c r="K123" i="1"/>
  <c r="J77" i="1"/>
  <c r="J121" i="1"/>
  <c r="J123" i="1"/>
  <c r="I123" i="1"/>
  <c r="H123" i="1"/>
  <c r="G123" i="1"/>
  <c r="F123" i="1"/>
  <c r="G130" i="1"/>
  <c r="H130" i="1"/>
  <c r="I130" i="1"/>
  <c r="J130" i="1"/>
  <c r="K130" i="1"/>
  <c r="L130" i="1"/>
  <c r="M130" i="1"/>
  <c r="N130" i="1"/>
  <c r="O130" i="1"/>
  <c r="P130" i="1"/>
  <c r="Q130" i="1"/>
  <c r="R130" i="1"/>
  <c r="S130" i="1"/>
  <c r="T130" i="1"/>
  <c r="U130" i="1"/>
  <c r="V130" i="1"/>
  <c r="W130" i="1"/>
  <c r="X130" i="1"/>
  <c r="Y130" i="1"/>
  <c r="Z130" i="1"/>
  <c r="AA130" i="1"/>
  <c r="AB130" i="1"/>
  <c r="AC130" i="1"/>
  <c r="AD130" i="1"/>
  <c r="H127" i="1"/>
  <c r="I127" i="1"/>
  <c r="J127" i="1"/>
  <c r="K127" i="1"/>
  <c r="L127" i="1"/>
  <c r="M127" i="1"/>
  <c r="N127" i="1"/>
  <c r="O127" i="1"/>
  <c r="G115" i="1"/>
  <c r="F115" i="1"/>
  <c r="F116" i="1"/>
  <c r="F117" i="1"/>
  <c r="F118" i="1"/>
  <c r="F119" i="1"/>
  <c r="G116" i="1"/>
  <c r="G117" i="1"/>
  <c r="G118" i="1"/>
  <c r="G119" i="1"/>
  <c r="I115" i="1"/>
  <c r="H115" i="1"/>
  <c r="H116" i="1"/>
  <c r="H117" i="1"/>
  <c r="H118" i="1"/>
  <c r="H119" i="1"/>
  <c r="I116" i="1"/>
  <c r="I117" i="1"/>
  <c r="I118" i="1"/>
  <c r="I119" i="1"/>
  <c r="K115" i="1"/>
  <c r="C42" i="1"/>
  <c r="J42" i="1"/>
  <c r="J73" i="1"/>
  <c r="K73" i="1"/>
  <c r="L73" i="1"/>
  <c r="M73" i="1"/>
  <c r="N73" i="1"/>
  <c r="O73" i="1"/>
  <c r="P73" i="1"/>
  <c r="Q73" i="1"/>
  <c r="C36" i="1"/>
  <c r="J36" i="1"/>
  <c r="R73" i="1"/>
  <c r="S73" i="1"/>
  <c r="T73" i="1"/>
  <c r="U73" i="1"/>
  <c r="V73" i="1"/>
  <c r="W73" i="1"/>
  <c r="X73" i="1"/>
  <c r="Y73" i="1"/>
  <c r="Z73" i="1"/>
  <c r="AA73" i="1"/>
  <c r="AB73" i="1"/>
  <c r="AC73" i="1"/>
  <c r="AD73" i="1"/>
  <c r="D32" i="1"/>
  <c r="AA70" i="1"/>
  <c r="AA71" i="1"/>
  <c r="E32" i="1"/>
  <c r="C32" i="1"/>
  <c r="J32" i="1"/>
  <c r="P127" i="1"/>
  <c r="Q127" i="1"/>
  <c r="R127" i="1"/>
  <c r="S127" i="1"/>
  <c r="T127" i="1"/>
  <c r="U127" i="1"/>
  <c r="V127" i="1"/>
  <c r="W127" i="1"/>
  <c r="X127" i="1"/>
  <c r="Y127" i="1"/>
  <c r="Z127" i="1"/>
  <c r="AA127" i="1"/>
  <c r="AB127" i="1"/>
  <c r="AC127" i="1"/>
  <c r="AD127" i="1"/>
  <c r="C43" i="1"/>
  <c r="G124" i="1"/>
  <c r="G125" i="1"/>
  <c r="H124" i="1"/>
  <c r="H125" i="1"/>
  <c r="I124" i="1"/>
  <c r="I125" i="1"/>
  <c r="J124" i="1"/>
  <c r="J125" i="1"/>
  <c r="K124" i="1"/>
  <c r="K125" i="1"/>
  <c r="L124" i="1"/>
  <c r="L125" i="1"/>
  <c r="M124" i="1"/>
  <c r="M125" i="1"/>
  <c r="N124" i="1"/>
  <c r="N125" i="1"/>
  <c r="O124" i="1"/>
  <c r="O125" i="1"/>
  <c r="P124" i="1"/>
  <c r="P125" i="1"/>
  <c r="Q124" i="1"/>
  <c r="Q125" i="1"/>
  <c r="R124" i="1"/>
  <c r="R125" i="1"/>
  <c r="S124" i="1"/>
  <c r="S125" i="1"/>
  <c r="T124" i="1"/>
  <c r="T125" i="1"/>
  <c r="U124" i="1"/>
  <c r="U125" i="1"/>
  <c r="V124" i="1"/>
  <c r="V125" i="1"/>
  <c r="W124" i="1"/>
  <c r="W125" i="1"/>
  <c r="X124" i="1"/>
  <c r="X125" i="1"/>
  <c r="Y124" i="1"/>
  <c r="Y125" i="1"/>
  <c r="Z124" i="1"/>
  <c r="Z125" i="1"/>
  <c r="AA124" i="1"/>
  <c r="AA125" i="1"/>
  <c r="AB124" i="1"/>
  <c r="AB125" i="1"/>
  <c r="AC124" i="1"/>
  <c r="AC125" i="1"/>
  <c r="AD124" i="1"/>
  <c r="AD125" i="1"/>
  <c r="AD126" i="1"/>
  <c r="D43" i="1"/>
  <c r="AC70" i="1"/>
  <c r="AC71" i="1"/>
  <c r="E43" i="1"/>
  <c r="J43" i="1"/>
  <c r="J88" i="1"/>
  <c r="J92" i="1"/>
  <c r="J89" i="1"/>
  <c r="J90" i="1"/>
  <c r="K88" i="1"/>
  <c r="K92" i="1"/>
  <c r="K89" i="1"/>
  <c r="K90" i="1"/>
  <c r="L88" i="1"/>
  <c r="L92" i="1"/>
  <c r="L89" i="1"/>
  <c r="L90" i="1"/>
  <c r="M88" i="1"/>
  <c r="M92" i="1"/>
  <c r="M89" i="1"/>
  <c r="M90" i="1"/>
  <c r="N88" i="1"/>
  <c r="N92" i="1"/>
  <c r="N89" i="1"/>
  <c r="N90" i="1"/>
  <c r="O88" i="1"/>
  <c r="O92" i="1"/>
  <c r="O89" i="1"/>
  <c r="O90" i="1"/>
  <c r="O93" i="1"/>
  <c r="D35" i="1"/>
  <c r="B13" i="2"/>
  <c r="B14" i="2"/>
  <c r="B16" i="2"/>
  <c r="E16" i="2"/>
  <c r="E14" i="2"/>
  <c r="E13" i="2"/>
  <c r="E12" i="2"/>
  <c r="K45" i="6"/>
  <c r="J45" i="6"/>
  <c r="I45" i="6"/>
  <c r="D45" i="6"/>
  <c r="E45" i="6"/>
  <c r="F45" i="6"/>
  <c r="G45" i="6"/>
  <c r="H45" i="6"/>
  <c r="C45" i="6"/>
  <c r="B45" i="6"/>
  <c r="A45" i="6"/>
  <c r="K44" i="6"/>
  <c r="J44" i="6"/>
  <c r="I44" i="6"/>
  <c r="D44" i="6"/>
  <c r="E44" i="6"/>
  <c r="F44" i="6"/>
  <c r="G44" i="6"/>
  <c r="H44" i="6"/>
  <c r="C44" i="6"/>
  <c r="B44" i="6"/>
  <c r="A44" i="6"/>
  <c r="K43" i="6"/>
  <c r="J43" i="6"/>
  <c r="I43" i="6"/>
  <c r="D43" i="6"/>
  <c r="E43" i="6"/>
  <c r="F43" i="6"/>
  <c r="G43" i="6"/>
  <c r="H43" i="6"/>
  <c r="C43" i="6"/>
  <c r="B43" i="6"/>
  <c r="A43" i="6"/>
  <c r="K42" i="6"/>
  <c r="J42" i="6"/>
  <c r="I42" i="6"/>
  <c r="D42" i="6"/>
  <c r="E42" i="6"/>
  <c r="F42" i="6"/>
  <c r="G42" i="6"/>
  <c r="H42" i="6"/>
  <c r="C42" i="6"/>
  <c r="B42" i="6"/>
  <c r="A42" i="6"/>
  <c r="K41" i="6"/>
  <c r="J41" i="6"/>
  <c r="I41" i="6"/>
  <c r="D41" i="6"/>
  <c r="E41" i="6"/>
  <c r="F41" i="6"/>
  <c r="G41" i="6"/>
  <c r="H41" i="6"/>
  <c r="C41" i="6"/>
  <c r="B41" i="6"/>
  <c r="A41" i="6"/>
  <c r="K40" i="6"/>
  <c r="J40" i="6"/>
  <c r="I40" i="6"/>
  <c r="D40" i="6"/>
  <c r="E40" i="6"/>
  <c r="F40" i="6"/>
  <c r="G40" i="6"/>
  <c r="H40" i="6"/>
  <c r="C40" i="6"/>
  <c r="B40" i="6"/>
  <c r="A40" i="6"/>
  <c r="K39" i="6"/>
  <c r="J39" i="6"/>
  <c r="I39" i="6"/>
  <c r="D39" i="6"/>
  <c r="E39" i="6"/>
  <c r="F39" i="6"/>
  <c r="G39" i="6"/>
  <c r="H39" i="6"/>
  <c r="C39" i="6"/>
  <c r="B39" i="6"/>
  <c r="A39" i="6"/>
  <c r="K38" i="6"/>
  <c r="J38" i="6"/>
  <c r="I38" i="6"/>
  <c r="D38" i="6"/>
  <c r="E38" i="6"/>
  <c r="F38" i="6"/>
  <c r="G38" i="6"/>
  <c r="H38" i="6"/>
  <c r="C38" i="6"/>
  <c r="B38" i="6"/>
  <c r="A38" i="6"/>
  <c r="K37" i="6"/>
  <c r="J37" i="6"/>
  <c r="I37" i="6"/>
  <c r="D37" i="6"/>
  <c r="E37" i="6"/>
  <c r="F37" i="6"/>
  <c r="G37" i="6"/>
  <c r="H37" i="6"/>
  <c r="C37" i="6"/>
  <c r="B37" i="6"/>
  <c r="A37" i="6"/>
  <c r="K36" i="6"/>
  <c r="J36" i="6"/>
  <c r="I36" i="6"/>
  <c r="D36" i="6"/>
  <c r="E36" i="6"/>
  <c r="F36" i="6"/>
  <c r="G36" i="6"/>
  <c r="H36" i="6"/>
  <c r="C36" i="6"/>
  <c r="B36" i="6"/>
  <c r="A36" i="6"/>
  <c r="D25" i="6"/>
  <c r="E25" i="6"/>
  <c r="F25" i="6"/>
  <c r="G25" i="6"/>
  <c r="H25" i="6"/>
  <c r="D26" i="6"/>
  <c r="E26" i="6"/>
  <c r="F26" i="6"/>
  <c r="G26" i="6"/>
  <c r="H26" i="6"/>
  <c r="D27" i="6"/>
  <c r="E27" i="6"/>
  <c r="F27" i="6"/>
  <c r="G27" i="6"/>
  <c r="H27" i="6"/>
  <c r="D28" i="6"/>
  <c r="E28" i="6"/>
  <c r="F28" i="6"/>
  <c r="G28" i="6"/>
  <c r="H28" i="6"/>
  <c r="D29" i="6"/>
  <c r="E29" i="6"/>
  <c r="F29" i="6"/>
  <c r="G29" i="6"/>
  <c r="H29" i="6"/>
  <c r="D30" i="6"/>
  <c r="E30" i="6"/>
  <c r="F30" i="6"/>
  <c r="G30" i="6"/>
  <c r="H30" i="6"/>
  <c r="D31" i="6"/>
  <c r="E31" i="6"/>
  <c r="F31" i="6"/>
  <c r="G31" i="6"/>
  <c r="H31" i="6"/>
  <c r="H32" i="6"/>
  <c r="F32" i="6"/>
  <c r="G32" i="6"/>
  <c r="K31" i="6"/>
  <c r="J31" i="6"/>
  <c r="I31" i="6"/>
  <c r="C31" i="6"/>
  <c r="B31" i="6"/>
  <c r="A31" i="6"/>
  <c r="K30" i="6"/>
  <c r="J30" i="6"/>
  <c r="I30" i="6"/>
  <c r="C30" i="6"/>
  <c r="B30" i="6"/>
  <c r="A30" i="6"/>
  <c r="K29" i="6"/>
  <c r="J29" i="6"/>
  <c r="I29" i="6"/>
  <c r="C29" i="6"/>
  <c r="B29" i="6"/>
  <c r="A29" i="6"/>
  <c r="K28" i="6"/>
  <c r="J28" i="6"/>
  <c r="I28" i="6"/>
  <c r="C28" i="6"/>
  <c r="B28" i="6"/>
  <c r="A28" i="6"/>
  <c r="K27" i="6"/>
  <c r="J27" i="6"/>
  <c r="I27" i="6"/>
  <c r="C27" i="6"/>
  <c r="B27" i="6"/>
  <c r="A27" i="6"/>
  <c r="K26" i="6"/>
  <c r="J26" i="6"/>
  <c r="I26" i="6"/>
  <c r="C26" i="6"/>
  <c r="B26" i="6"/>
  <c r="A26" i="6"/>
  <c r="K25" i="6"/>
  <c r="J25" i="6"/>
  <c r="I25" i="6"/>
  <c r="C25" i="6"/>
  <c r="B25" i="6"/>
  <c r="A25" i="6"/>
  <c r="D14" i="6"/>
  <c r="E14" i="6"/>
  <c r="F14" i="6"/>
  <c r="G14" i="6"/>
  <c r="H14" i="6"/>
  <c r="D15" i="6"/>
  <c r="E15" i="6"/>
  <c r="F15" i="6"/>
  <c r="G15" i="6"/>
  <c r="H15" i="6"/>
  <c r="D16" i="6"/>
  <c r="E16" i="6"/>
  <c r="F16" i="6"/>
  <c r="G16" i="6"/>
  <c r="H16" i="6"/>
  <c r="D17" i="6"/>
  <c r="E17" i="6"/>
  <c r="F17" i="6"/>
  <c r="G17" i="6"/>
  <c r="H17" i="6"/>
  <c r="D18" i="6"/>
  <c r="E18" i="6"/>
  <c r="F18" i="6"/>
  <c r="G18" i="6"/>
  <c r="H18" i="6"/>
  <c r="D19" i="6"/>
  <c r="E19" i="6"/>
  <c r="F19" i="6"/>
  <c r="G19" i="6"/>
  <c r="H19" i="6"/>
  <c r="D20" i="6"/>
  <c r="E20" i="6"/>
  <c r="F20" i="6"/>
  <c r="G20" i="6"/>
  <c r="H20" i="6"/>
  <c r="D21" i="6"/>
  <c r="E21" i="6"/>
  <c r="F21" i="6"/>
  <c r="G21" i="6"/>
  <c r="H21" i="6"/>
  <c r="D22" i="6"/>
  <c r="E22" i="6"/>
  <c r="F22" i="6"/>
  <c r="G22" i="6"/>
  <c r="H22" i="6"/>
  <c r="H23" i="6"/>
  <c r="F23" i="6"/>
  <c r="G23" i="6"/>
  <c r="K22" i="6"/>
  <c r="J22" i="6"/>
  <c r="I22" i="6"/>
  <c r="C22" i="6"/>
  <c r="B22" i="6"/>
  <c r="A22" i="6"/>
  <c r="K21" i="6"/>
  <c r="J21" i="6"/>
  <c r="I21" i="6"/>
  <c r="C21" i="6"/>
  <c r="B21" i="6"/>
  <c r="A21" i="6"/>
  <c r="K20" i="6"/>
  <c r="J20" i="6"/>
  <c r="I20" i="6"/>
  <c r="C20" i="6"/>
  <c r="B20" i="6"/>
  <c r="A20" i="6"/>
  <c r="K19" i="6"/>
  <c r="J19" i="6"/>
  <c r="I19" i="6"/>
  <c r="C19" i="6"/>
  <c r="B19" i="6"/>
  <c r="A19" i="6"/>
  <c r="K18" i="6"/>
  <c r="J18" i="6"/>
  <c r="I18" i="6"/>
  <c r="C18" i="6"/>
  <c r="B18" i="6"/>
  <c r="A18" i="6"/>
  <c r="K17" i="6"/>
  <c r="J17" i="6"/>
  <c r="I17" i="6"/>
  <c r="C17" i="6"/>
  <c r="B17" i="6"/>
  <c r="A17" i="6"/>
  <c r="K16" i="6"/>
  <c r="J16" i="6"/>
  <c r="I16" i="6"/>
  <c r="C16" i="6"/>
  <c r="B16" i="6"/>
  <c r="A16" i="6"/>
  <c r="K15" i="6"/>
  <c r="J15" i="6"/>
  <c r="I15" i="6"/>
  <c r="C15" i="6"/>
  <c r="B15" i="6"/>
  <c r="A15" i="6"/>
  <c r="K14" i="6"/>
  <c r="J14" i="6"/>
  <c r="I14" i="6"/>
  <c r="C14" i="6"/>
  <c r="B14" i="6"/>
  <c r="A14" i="6"/>
  <c r="D3" i="6"/>
  <c r="E3" i="6"/>
  <c r="F3" i="6"/>
  <c r="G3" i="6"/>
  <c r="H3" i="6"/>
  <c r="D4" i="6"/>
  <c r="E4" i="6"/>
  <c r="F4" i="6"/>
  <c r="G4" i="6"/>
  <c r="H4" i="6"/>
  <c r="D5" i="6"/>
  <c r="E5" i="6"/>
  <c r="F5" i="6"/>
  <c r="G5" i="6"/>
  <c r="H5" i="6"/>
  <c r="D6" i="6"/>
  <c r="E6" i="6"/>
  <c r="F6" i="6"/>
  <c r="G6" i="6"/>
  <c r="H6" i="6"/>
  <c r="D7" i="6"/>
  <c r="E7" i="6"/>
  <c r="F7" i="6"/>
  <c r="G7" i="6"/>
  <c r="H7" i="6"/>
  <c r="D8" i="6"/>
  <c r="E8" i="6"/>
  <c r="F8" i="6"/>
  <c r="G8" i="6"/>
  <c r="H8" i="6"/>
  <c r="D9" i="6"/>
  <c r="E9" i="6"/>
  <c r="F9" i="6"/>
  <c r="G9" i="6"/>
  <c r="H9" i="6"/>
  <c r="D10" i="6"/>
  <c r="E10" i="6"/>
  <c r="F10" i="6"/>
  <c r="G10" i="6"/>
  <c r="H10" i="6"/>
  <c r="D11" i="6"/>
  <c r="E11" i="6"/>
  <c r="F11" i="6"/>
  <c r="G11" i="6"/>
  <c r="H11" i="6"/>
  <c r="H12" i="6"/>
  <c r="F12" i="6"/>
  <c r="G12" i="6"/>
  <c r="K11" i="6"/>
  <c r="J11" i="6"/>
  <c r="I11" i="6"/>
  <c r="C11" i="6"/>
  <c r="B11" i="6"/>
  <c r="A11" i="6"/>
  <c r="K10" i="6"/>
  <c r="J10" i="6"/>
  <c r="I10" i="6"/>
  <c r="C10" i="6"/>
  <c r="B10" i="6"/>
  <c r="A10" i="6"/>
  <c r="K9" i="6"/>
  <c r="J9" i="6"/>
  <c r="I9" i="6"/>
  <c r="C9" i="6"/>
  <c r="B9" i="6"/>
  <c r="A9" i="6"/>
  <c r="K8" i="6"/>
  <c r="J8" i="6"/>
  <c r="I8" i="6"/>
  <c r="C8" i="6"/>
  <c r="B8" i="6"/>
  <c r="A8" i="6"/>
  <c r="K7" i="6"/>
  <c r="J7" i="6"/>
  <c r="I7" i="6"/>
  <c r="C7" i="6"/>
  <c r="B7" i="6"/>
  <c r="A7" i="6"/>
  <c r="K6" i="6"/>
  <c r="J6" i="6"/>
  <c r="I6" i="6"/>
  <c r="C6" i="6"/>
  <c r="B6" i="6"/>
  <c r="A6" i="6"/>
  <c r="K5" i="6"/>
  <c r="J5" i="6"/>
  <c r="I5" i="6"/>
  <c r="C5" i="6"/>
  <c r="B5" i="6"/>
  <c r="A5" i="6"/>
  <c r="K4" i="6"/>
  <c r="J4" i="6"/>
  <c r="I4" i="6"/>
  <c r="C4" i="6"/>
  <c r="B4" i="6"/>
  <c r="A4" i="6"/>
  <c r="K3" i="6"/>
  <c r="J3" i="6"/>
  <c r="I3" i="6"/>
  <c r="C3" i="6"/>
  <c r="B3" i="6"/>
  <c r="A3" i="6"/>
  <c r="G54" i="1"/>
  <c r="G51" i="1"/>
  <c r="H54" i="1"/>
  <c r="H52" i="1"/>
  <c r="H51" i="1"/>
  <c r="I54" i="1"/>
  <c r="I53" i="1"/>
  <c r="I52" i="1"/>
  <c r="I51" i="1"/>
  <c r="J54" i="1"/>
  <c r="J53" i="1"/>
  <c r="J52" i="1"/>
  <c r="J51" i="1"/>
  <c r="K54" i="1"/>
  <c r="K53" i="1"/>
  <c r="K52" i="1"/>
  <c r="K51" i="1"/>
  <c r="L54" i="1"/>
  <c r="L53" i="1"/>
  <c r="L52" i="1"/>
  <c r="L51" i="1"/>
  <c r="M54" i="1"/>
  <c r="M53" i="1"/>
  <c r="M52" i="1"/>
  <c r="M51" i="1"/>
  <c r="N54" i="1"/>
  <c r="N53" i="1"/>
  <c r="N52" i="1"/>
  <c r="N51" i="1"/>
  <c r="O54" i="1"/>
  <c r="O53" i="1"/>
  <c r="O52" i="1"/>
  <c r="O51" i="1"/>
  <c r="P54" i="1"/>
  <c r="P53" i="1"/>
  <c r="P52" i="1"/>
  <c r="P51" i="1"/>
  <c r="Q54" i="1"/>
  <c r="Q53" i="1"/>
  <c r="Q52" i="1"/>
  <c r="Q51" i="1"/>
  <c r="R54" i="1"/>
  <c r="R53" i="1"/>
  <c r="R52" i="1"/>
  <c r="R51" i="1"/>
  <c r="S54" i="1"/>
  <c r="S53" i="1"/>
  <c r="S52" i="1"/>
  <c r="S51" i="1"/>
  <c r="T54" i="1"/>
  <c r="T53" i="1"/>
  <c r="T52" i="1"/>
  <c r="T51" i="1"/>
  <c r="U54" i="1"/>
  <c r="U53" i="1"/>
  <c r="U52" i="1"/>
  <c r="V54" i="1"/>
  <c r="V53" i="1"/>
  <c r="V52" i="1"/>
  <c r="W54" i="1"/>
  <c r="W53" i="1"/>
  <c r="W52" i="1"/>
  <c r="X54" i="1"/>
  <c r="X53" i="1"/>
  <c r="X52" i="1"/>
  <c r="Y54" i="1"/>
  <c r="Y53" i="1"/>
  <c r="Y52" i="1"/>
  <c r="Z54" i="1"/>
  <c r="Z53" i="1"/>
  <c r="Z52" i="1"/>
  <c r="AA54" i="1"/>
  <c r="AA53" i="1"/>
  <c r="AA52" i="1"/>
  <c r="AB54" i="1"/>
  <c r="AB53" i="1"/>
  <c r="AB52" i="1"/>
  <c r="AC54" i="1"/>
  <c r="AC53" i="1"/>
  <c r="AC52" i="1"/>
  <c r="AD54" i="1"/>
  <c r="AD53" i="1"/>
  <c r="AD52" i="1"/>
  <c r="AC87" i="1"/>
  <c r="O4" i="1"/>
  <c r="I4" i="1"/>
  <c r="F122" i="1"/>
  <c r="AB87" i="1"/>
  <c r="D10" i="1"/>
  <c r="D26" i="1"/>
  <c r="B32" i="1"/>
  <c r="AI121" i="1"/>
  <c r="AH121" i="1"/>
  <c r="AD111" i="1"/>
  <c r="AC111" i="1"/>
  <c r="AB111" i="1"/>
  <c r="AA111" i="1"/>
  <c r="Z111" i="1"/>
  <c r="Y111" i="1"/>
  <c r="X111" i="1"/>
  <c r="W111" i="1"/>
  <c r="V111" i="1"/>
  <c r="U111" i="1"/>
  <c r="T111" i="1"/>
  <c r="S111" i="1"/>
  <c r="R111" i="1"/>
  <c r="Q111" i="1"/>
  <c r="P111" i="1"/>
  <c r="D22" i="1"/>
  <c r="AE54" i="1"/>
  <c r="AH54" i="1"/>
  <c r="AI54" i="1"/>
  <c r="AE53" i="1"/>
  <c r="AH53" i="1"/>
  <c r="AI53" i="1"/>
  <c r="AE52" i="1"/>
  <c r="AH52" i="1"/>
  <c r="AI52" i="1"/>
  <c r="U51" i="1"/>
  <c r="V51" i="1"/>
  <c r="W51" i="1"/>
  <c r="X51" i="1"/>
  <c r="Y51" i="1"/>
  <c r="Z51" i="1"/>
  <c r="AA51" i="1"/>
  <c r="AB51" i="1"/>
  <c r="AC51" i="1"/>
  <c r="AD51" i="1"/>
  <c r="AE51" i="1"/>
  <c r="AH51" i="1"/>
  <c r="AI51" i="1"/>
  <c r="G122" i="1"/>
  <c r="H122" i="1"/>
  <c r="AH107" i="1"/>
  <c r="AI107" i="1"/>
  <c r="I122" i="1"/>
  <c r="J122" i="1"/>
  <c r="K122" i="1"/>
  <c r="L122" i="1"/>
  <c r="M122" i="1"/>
  <c r="N122" i="1"/>
  <c r="O122" i="1"/>
  <c r="P122" i="1"/>
  <c r="Q122" i="1"/>
  <c r="R122" i="1"/>
  <c r="S122" i="1"/>
  <c r="T122" i="1"/>
  <c r="U122" i="1"/>
  <c r="V122" i="1"/>
  <c r="W122" i="1"/>
  <c r="X122" i="1"/>
  <c r="Y122" i="1"/>
  <c r="Z122" i="1"/>
  <c r="AA122" i="1"/>
  <c r="AB122" i="1"/>
  <c r="AD122" i="1"/>
  <c r="AC122" i="1"/>
  <c r="AE106" i="1"/>
  <c r="AH105" i="1"/>
  <c r="AI105" i="1"/>
  <c r="AH106" i="1"/>
  <c r="AH103" i="1"/>
  <c r="AI103" i="1"/>
  <c r="AI106" i="1"/>
  <c r="AD87" i="1"/>
  <c r="AA87" i="1"/>
  <c r="Y126" i="1"/>
  <c r="D41" i="1"/>
  <c r="AB70" i="1"/>
  <c r="AB71" i="1"/>
  <c r="E41" i="1"/>
  <c r="Q10" i="1"/>
  <c r="O10" i="1"/>
  <c r="R10" i="1"/>
  <c r="P10" i="1"/>
  <c r="Q4" i="1"/>
  <c r="Z43" i="1"/>
  <c r="R4" i="1"/>
  <c r="P4" i="1"/>
  <c r="P88" i="1"/>
  <c r="P92" i="1"/>
  <c r="P89" i="1"/>
  <c r="Q88" i="1"/>
  <c r="P90" i="1"/>
  <c r="Q92" i="1"/>
  <c r="Q89" i="1"/>
  <c r="R88" i="1"/>
  <c r="Q90" i="1"/>
  <c r="R92" i="1"/>
  <c r="R89" i="1"/>
  <c r="S88" i="1"/>
  <c r="R90" i="1"/>
  <c r="S92" i="1"/>
  <c r="S89" i="1"/>
  <c r="T88" i="1"/>
  <c r="S90" i="1"/>
  <c r="T92" i="1"/>
  <c r="T89" i="1"/>
  <c r="U88" i="1"/>
  <c r="T90" i="1"/>
  <c r="U92" i="1"/>
  <c r="U89" i="1"/>
  <c r="V88" i="1"/>
  <c r="U90" i="1"/>
  <c r="V92" i="1"/>
  <c r="V89" i="1"/>
  <c r="W88" i="1"/>
  <c r="V90" i="1"/>
  <c r="W92" i="1"/>
  <c r="W89" i="1"/>
  <c r="X88" i="1"/>
  <c r="W90" i="1"/>
  <c r="X92" i="1"/>
  <c r="X89" i="1"/>
  <c r="Y88" i="1"/>
  <c r="X90" i="1"/>
  <c r="Y92" i="1"/>
  <c r="Y89" i="1"/>
  <c r="Y90" i="1"/>
  <c r="Y93" i="1"/>
  <c r="D33" i="1"/>
  <c r="Z70" i="1"/>
  <c r="Z71" i="1"/>
  <c r="E33" i="1"/>
  <c r="O126" i="1"/>
  <c r="J4" i="1"/>
  <c r="J10" i="1"/>
  <c r="I10" i="1"/>
  <c r="H87" i="1"/>
  <c r="I87" i="1"/>
  <c r="J87" i="1"/>
  <c r="K87" i="1"/>
  <c r="L87" i="1"/>
  <c r="M87" i="1"/>
  <c r="N87" i="1"/>
  <c r="O87" i="1"/>
  <c r="F87" i="1"/>
  <c r="AC126" i="1"/>
  <c r="AB126" i="1"/>
  <c r="AA126" i="1"/>
  <c r="Z126" i="1"/>
  <c r="I126" i="1"/>
  <c r="H126" i="1"/>
  <c r="Y87" i="1"/>
  <c r="X87" i="1"/>
  <c r="W87" i="1"/>
  <c r="D42" i="1"/>
  <c r="P87" i="1"/>
  <c r="Q87" i="1"/>
  <c r="R87" i="1"/>
  <c r="S87" i="1"/>
  <c r="T87" i="1"/>
  <c r="U87" i="1"/>
  <c r="V87" i="1"/>
  <c r="C33" i="1"/>
  <c r="Z33" i="1"/>
  <c r="Z32" i="1"/>
  <c r="X126" i="1"/>
  <c r="W126" i="1"/>
  <c r="V126" i="1"/>
  <c r="U126" i="1"/>
  <c r="T126" i="1"/>
  <c r="S126" i="1"/>
  <c r="R126" i="1"/>
  <c r="Q126" i="1"/>
  <c r="P126" i="1"/>
  <c r="N126" i="1"/>
  <c r="M126" i="1"/>
  <c r="L126" i="1"/>
  <c r="K126" i="1"/>
  <c r="J126" i="1"/>
  <c r="G126" i="1"/>
  <c r="F126" i="1"/>
  <c r="F124" i="1"/>
  <c r="O109" i="1"/>
  <c r="O108" i="1"/>
  <c r="N109" i="1"/>
  <c r="N108" i="1"/>
  <c r="M109" i="1"/>
  <c r="M108" i="1"/>
  <c r="L109" i="1"/>
  <c r="L108" i="1"/>
  <c r="K109" i="1"/>
  <c r="K108" i="1"/>
  <c r="J109" i="1"/>
  <c r="J108" i="1"/>
  <c r="I109" i="1"/>
  <c r="I108" i="1"/>
  <c r="H109" i="1"/>
  <c r="H108" i="1"/>
  <c r="G109" i="1"/>
  <c r="G108" i="1"/>
  <c r="AI112" i="1"/>
  <c r="AE112" i="1"/>
  <c r="AA112" i="1"/>
  <c r="W112" i="1"/>
  <c r="S112" i="1"/>
  <c r="AH112" i="1"/>
  <c r="AD112" i="1"/>
  <c r="Z112" i="1"/>
  <c r="V112" i="1"/>
  <c r="R112" i="1"/>
  <c r="T112" i="1"/>
  <c r="AC112" i="1"/>
  <c r="Y112" i="1"/>
  <c r="U112" i="1"/>
  <c r="Q112" i="1"/>
  <c r="AB112" i="1"/>
  <c r="X112" i="1"/>
  <c r="F112" i="1"/>
  <c r="F107" i="1"/>
  <c r="I107" i="1"/>
  <c r="G107" i="1"/>
  <c r="F88" i="1"/>
  <c r="H107" i="1"/>
  <c r="F83" i="1"/>
  <c r="J107" i="1"/>
  <c r="K107" i="1"/>
  <c r="L107" i="1"/>
  <c r="M107" i="1"/>
  <c r="N107" i="1"/>
  <c r="O107" i="1"/>
  <c r="P107" i="1"/>
  <c r="Q107" i="1"/>
  <c r="R107" i="1"/>
  <c r="S107" i="1"/>
  <c r="T107" i="1"/>
  <c r="U107" i="1"/>
  <c r="V107" i="1"/>
  <c r="W107" i="1"/>
  <c r="X107" i="1"/>
  <c r="Y107" i="1"/>
  <c r="Z107" i="1"/>
  <c r="AA107" i="1"/>
  <c r="AB107" i="1"/>
  <c r="AC107" i="1"/>
  <c r="AD107" i="1"/>
  <c r="AE107" i="1"/>
  <c r="F104" i="1"/>
  <c r="F110" i="1"/>
  <c r="F111" i="1"/>
  <c r="F113" i="1"/>
  <c r="F114" i="1"/>
  <c r="G112" i="1"/>
  <c r="G110" i="1"/>
  <c r="G111" i="1"/>
  <c r="G113" i="1"/>
  <c r="F105" i="1"/>
  <c r="F103" i="1"/>
  <c r="F108" i="1"/>
  <c r="F102" i="1"/>
  <c r="G104" i="1"/>
  <c r="G40" i="1"/>
  <c r="J102" i="1"/>
  <c r="K102" i="1"/>
  <c r="M102" i="1"/>
  <c r="G102" i="1"/>
  <c r="G37" i="1"/>
  <c r="I102" i="1"/>
  <c r="D107" i="1"/>
  <c r="L102" i="1"/>
  <c r="N102" i="1"/>
  <c r="H102" i="1"/>
  <c r="G114" i="1"/>
  <c r="H112" i="1"/>
  <c r="O102" i="1"/>
  <c r="G105" i="1"/>
  <c r="G106" i="1"/>
  <c r="G103" i="1"/>
  <c r="G38" i="1"/>
  <c r="H110" i="1"/>
  <c r="H111" i="1"/>
  <c r="H113" i="1"/>
  <c r="H114" i="1"/>
  <c r="I112" i="1"/>
  <c r="I110" i="1"/>
  <c r="I111" i="1"/>
  <c r="I113" i="1"/>
  <c r="H105" i="1"/>
  <c r="H106" i="1"/>
  <c r="H103" i="1"/>
  <c r="I114" i="1"/>
  <c r="J112" i="1"/>
  <c r="H104" i="1"/>
  <c r="I105" i="1"/>
  <c r="I106" i="1"/>
  <c r="I103" i="1"/>
  <c r="I104" i="1"/>
  <c r="J110" i="1"/>
  <c r="J111" i="1"/>
  <c r="J113" i="1"/>
  <c r="J114" i="1"/>
  <c r="K112" i="1"/>
  <c r="K110" i="1"/>
  <c r="K111" i="1"/>
  <c r="K113" i="1"/>
  <c r="J105" i="1"/>
  <c r="J103" i="1"/>
  <c r="J106" i="1"/>
  <c r="K114" i="1"/>
  <c r="L112" i="1"/>
  <c r="K105" i="1"/>
  <c r="K106" i="1"/>
  <c r="K103" i="1"/>
  <c r="J115" i="1"/>
  <c r="J104" i="1"/>
  <c r="J117" i="1"/>
  <c r="L110" i="1"/>
  <c r="L111" i="1"/>
  <c r="L113" i="1"/>
  <c r="K104" i="1"/>
  <c r="J116" i="1"/>
  <c r="J118" i="1"/>
  <c r="J119" i="1"/>
  <c r="K117" i="1"/>
  <c r="K116" i="1"/>
  <c r="K118" i="1"/>
  <c r="K119" i="1"/>
  <c r="L105" i="1"/>
  <c r="L106" i="1"/>
  <c r="L103" i="1"/>
  <c r="L114" i="1"/>
  <c r="M112" i="1"/>
  <c r="M110" i="1"/>
  <c r="M111" i="1"/>
  <c r="M113" i="1"/>
  <c r="M105" i="1"/>
  <c r="M103" i="1"/>
  <c r="M106" i="1"/>
  <c r="M114" i="1"/>
  <c r="N112" i="1"/>
  <c r="L115" i="1"/>
  <c r="L104" i="1"/>
  <c r="M115" i="1"/>
  <c r="M104" i="1"/>
  <c r="L117" i="1"/>
  <c r="L116" i="1"/>
  <c r="L118" i="1"/>
  <c r="L119" i="1"/>
  <c r="M117" i="1"/>
  <c r="M116" i="1"/>
  <c r="M118" i="1"/>
  <c r="M119" i="1"/>
  <c r="N105" i="1"/>
  <c r="N106" i="1"/>
  <c r="N103" i="1"/>
  <c r="N110" i="1"/>
  <c r="N111" i="1"/>
  <c r="N113" i="1"/>
  <c r="O105" i="1"/>
  <c r="O106" i="1"/>
  <c r="O103" i="1"/>
  <c r="N114" i="1"/>
  <c r="O112" i="1"/>
  <c r="P105" i="1"/>
  <c r="P103" i="1"/>
  <c r="P106" i="1"/>
  <c r="O115" i="1"/>
  <c r="O104" i="1"/>
  <c r="N115" i="1"/>
  <c r="N117" i="1"/>
  <c r="N104" i="1"/>
  <c r="O110" i="1"/>
  <c r="O111" i="1"/>
  <c r="O113" i="1"/>
  <c r="O114" i="1"/>
  <c r="P112" i="1"/>
  <c r="D110" i="1"/>
  <c r="Q105" i="1"/>
  <c r="Q106" i="1"/>
  <c r="Q103" i="1"/>
  <c r="N116" i="1"/>
  <c r="N118" i="1"/>
  <c r="N119" i="1"/>
  <c r="R105" i="1"/>
  <c r="R103" i="1"/>
  <c r="R106" i="1"/>
  <c r="O117" i="1"/>
  <c r="O116" i="1"/>
  <c r="O118" i="1"/>
  <c r="O119" i="1"/>
  <c r="S105" i="1"/>
  <c r="S106" i="1"/>
  <c r="S103" i="1"/>
  <c r="T105" i="1"/>
  <c r="T103" i="1"/>
  <c r="T106" i="1"/>
  <c r="P115" i="1"/>
  <c r="P104" i="1"/>
  <c r="P117" i="1"/>
  <c r="Q115" i="1"/>
  <c r="Q104" i="1"/>
  <c r="U105" i="1"/>
  <c r="U103" i="1"/>
  <c r="U106" i="1"/>
  <c r="P116" i="1"/>
  <c r="P118" i="1"/>
  <c r="P119" i="1"/>
  <c r="V105" i="1"/>
  <c r="V106" i="1"/>
  <c r="V103" i="1"/>
  <c r="Q117" i="1"/>
  <c r="Q116" i="1"/>
  <c r="Q118" i="1"/>
  <c r="Q119" i="1"/>
  <c r="W105" i="1"/>
  <c r="W103" i="1"/>
  <c r="W106" i="1"/>
  <c r="X105" i="1"/>
  <c r="X106" i="1"/>
  <c r="X103" i="1"/>
  <c r="R115" i="1"/>
  <c r="R117" i="1"/>
  <c r="R104" i="1"/>
  <c r="S115" i="1"/>
  <c r="S104" i="1"/>
  <c r="R116" i="1"/>
  <c r="R118" i="1"/>
  <c r="R119" i="1"/>
  <c r="S117" i="1"/>
  <c r="S116" i="1"/>
  <c r="S118" i="1"/>
  <c r="S119" i="1"/>
  <c r="Y105" i="1"/>
  <c r="Y103" i="1"/>
  <c r="Y106" i="1"/>
  <c r="Z105" i="1"/>
  <c r="Z103" i="1"/>
  <c r="Z106" i="1"/>
  <c r="AA105" i="1"/>
  <c r="AA103" i="1"/>
  <c r="AA106" i="1"/>
  <c r="T115" i="1"/>
  <c r="T104" i="1"/>
  <c r="T117" i="1"/>
  <c r="U115" i="1"/>
  <c r="U104" i="1"/>
  <c r="AB105" i="1"/>
  <c r="AB103" i="1"/>
  <c r="AB106" i="1"/>
  <c r="T116" i="1"/>
  <c r="T118" i="1"/>
  <c r="T119" i="1"/>
  <c r="U117" i="1"/>
  <c r="U116" i="1"/>
  <c r="U118" i="1"/>
  <c r="U119" i="1"/>
  <c r="AC105" i="1"/>
  <c r="AC106" i="1"/>
  <c r="AC103" i="1"/>
  <c r="AD105" i="1"/>
  <c r="AD103" i="1"/>
  <c r="AD106" i="1"/>
  <c r="V115" i="1"/>
  <c r="V117" i="1"/>
  <c r="V104" i="1"/>
  <c r="W115" i="1"/>
  <c r="W104" i="1"/>
  <c r="V116" i="1"/>
  <c r="V118" i="1"/>
  <c r="V119" i="1"/>
  <c r="W117" i="1"/>
  <c r="W116" i="1"/>
  <c r="W118" i="1"/>
  <c r="W119" i="1"/>
  <c r="X115" i="1"/>
  <c r="X117" i="1"/>
  <c r="X116" i="1"/>
  <c r="X118" i="1"/>
  <c r="X119" i="1"/>
  <c r="X104" i="1"/>
  <c r="Y115" i="1"/>
  <c r="Y104" i="1"/>
  <c r="Y117" i="1"/>
  <c r="Y116" i="1"/>
  <c r="Y118" i="1"/>
  <c r="Y119" i="1"/>
  <c r="Z115" i="1"/>
  <c r="Z117" i="1"/>
  <c r="Z104" i="1"/>
  <c r="AA115" i="1"/>
  <c r="AA104" i="1"/>
  <c r="Z116" i="1"/>
  <c r="Z118" i="1"/>
  <c r="Z119" i="1"/>
  <c r="AA117" i="1"/>
  <c r="AA116" i="1"/>
  <c r="AA118" i="1"/>
  <c r="AA119" i="1"/>
  <c r="AB115" i="1"/>
  <c r="AB117" i="1"/>
  <c r="AB104" i="1"/>
  <c r="AC115" i="1"/>
  <c r="AC104" i="1"/>
  <c r="AB116" i="1"/>
  <c r="AB118" i="1"/>
  <c r="AB119" i="1"/>
  <c r="AC117" i="1"/>
  <c r="AC116" i="1"/>
  <c r="AC118" i="1"/>
  <c r="AC119" i="1"/>
  <c r="AD115" i="1"/>
  <c r="AD117" i="1"/>
  <c r="AD104" i="1"/>
  <c r="AD116" i="1"/>
  <c r="AD118" i="1"/>
  <c r="AD119" i="1"/>
  <c r="AE115" i="1"/>
  <c r="AE117" i="1"/>
  <c r="AE116" i="1"/>
  <c r="AE118" i="1"/>
  <c r="AE119" i="1"/>
  <c r="AH115" i="1"/>
  <c r="AH117" i="1"/>
  <c r="AH104" i="1"/>
  <c r="AH116" i="1"/>
  <c r="AH118" i="1"/>
  <c r="AH119" i="1"/>
  <c r="AI115" i="1"/>
  <c r="AI117" i="1"/>
  <c r="AI104" i="1"/>
  <c r="AI116" i="1"/>
  <c r="AI118" i="1"/>
  <c r="AI119" i="1"/>
  <c r="D80" i="1"/>
  <c r="C37" i="1"/>
  <c r="F97" i="1"/>
  <c r="F93" i="1"/>
  <c r="G97" i="1"/>
  <c r="C38" i="1"/>
  <c r="G93" i="1"/>
  <c r="H97" i="1"/>
  <c r="F106" i="1"/>
  <c r="C39" i="1"/>
  <c r="I97" i="1"/>
  <c r="H93" i="1"/>
  <c r="C40" i="1"/>
  <c r="J97" i="1"/>
  <c r="I93" i="1"/>
  <c r="K97" i="1"/>
  <c r="J93" i="1"/>
  <c r="L97" i="1"/>
  <c r="K93" i="1"/>
  <c r="L93" i="1"/>
  <c r="M97" i="1"/>
  <c r="N97" i="1"/>
  <c r="M93" i="1"/>
  <c r="D36" i="1"/>
  <c r="N93" i="1"/>
  <c r="O97" i="1"/>
  <c r="P97" i="1"/>
  <c r="Q97" i="1"/>
  <c r="P93" i="1"/>
  <c r="Q93" i="1"/>
  <c r="R97" i="1"/>
  <c r="C35" i="1"/>
  <c r="S97" i="1"/>
  <c r="R93" i="1"/>
  <c r="T97" i="1"/>
  <c r="S93" i="1"/>
  <c r="U97" i="1"/>
  <c r="T93" i="1"/>
  <c r="V97" i="1"/>
  <c r="U93" i="1"/>
  <c r="W97" i="1"/>
  <c r="V93" i="1"/>
  <c r="X97" i="1"/>
  <c r="W93" i="1"/>
  <c r="Y97" i="1"/>
  <c r="X93" i="1"/>
  <c r="Z97" i="1"/>
  <c r="D34" i="1"/>
  <c r="AA97" i="1"/>
  <c r="E34" i="1"/>
  <c r="C87" i="1"/>
  <c r="C34" i="1"/>
  <c r="AB97" i="1"/>
  <c r="AC97" i="1"/>
  <c r="AD97" i="1"/>
  <c r="C41" i="1"/>
  <c r="Z41" i="1"/>
</calcChain>
</file>

<file path=xl/sharedStrings.xml><?xml version="1.0" encoding="utf-8"?>
<sst xmlns="http://schemas.openxmlformats.org/spreadsheetml/2006/main" count="588" uniqueCount="158">
  <si>
    <t>Interest Rate</t>
  </si>
  <si>
    <t>Annual Interest Rate</t>
  </si>
  <si>
    <t>Payments per Year</t>
  </si>
  <si>
    <t>Total</t>
  </si>
  <si>
    <t>Weighted Average Interest Rate</t>
  </si>
  <si>
    <t>Standard Annual Repayment p and i</t>
  </si>
  <si>
    <t>Annual Interest</t>
  </si>
  <si>
    <t>Cumulative negative amortization/(Principal Payment)</t>
  </si>
  <si>
    <t>Loan Balance</t>
  </si>
  <si>
    <t>Total Payments</t>
  </si>
  <si>
    <t>Graduated Consolidation Monthly payment</t>
  </si>
  <si>
    <t>Standard Monthly payment</t>
  </si>
  <si>
    <t>Graduated Standard Monthly payment</t>
  </si>
  <si>
    <t>Annual Grad standard</t>
  </si>
  <si>
    <t>Principal Payment</t>
  </si>
  <si>
    <t>Annual Grad consolidated Payment</t>
  </si>
  <si>
    <t>Percentage Unsub</t>
  </si>
  <si>
    <t>Repayment Year</t>
  </si>
  <si>
    <t>Forgiven</t>
  </si>
  <si>
    <t>Unsubsidized</t>
  </si>
  <si>
    <t>Subsidized</t>
  </si>
  <si>
    <t>Fixed Consolidation</t>
  </si>
  <si>
    <t>Graduated Consolidation</t>
  </si>
  <si>
    <t>Repayment year first child is born</t>
  </si>
  <si>
    <t>Repayment year second child is born</t>
  </si>
  <si>
    <t>Repayment year third child is born</t>
  </si>
  <si>
    <t>Repayment year fourth child is born</t>
  </si>
  <si>
    <t>Repayment year fifth child is born</t>
  </si>
  <si>
    <t>Loan Balance ($)</t>
  </si>
  <si>
    <t>Standard Monthly Payment ($)</t>
  </si>
  <si>
    <t>Consolidation Monthly Payment ($)</t>
  </si>
  <si>
    <t>Graduated Consolidation Monthly Payment ($)</t>
  </si>
  <si>
    <t>Annual Income ($)</t>
  </si>
  <si>
    <t>Adjusted Gross Income ($)</t>
  </si>
  <si>
    <t>Standard 10-Year</t>
  </si>
  <si>
    <t>Standard Deduction</t>
  </si>
  <si>
    <t>Personal Exemption</t>
  </si>
  <si>
    <t xml:space="preserve">Total </t>
  </si>
  <si>
    <t>After Tax Income Plus Forgiveness</t>
  </si>
  <si>
    <t>Owed on Forgiveness</t>
  </si>
  <si>
    <t>Tax Payment</t>
  </si>
  <si>
    <t>Present Value New IBR</t>
  </si>
  <si>
    <t>Present Value Fixed Consolidation</t>
  </si>
  <si>
    <t>Annual Standard</t>
  </si>
  <si>
    <t>150% Poverty for family size</t>
  </si>
  <si>
    <t>Additional Pov Exemp per family member</t>
  </si>
  <si>
    <t>Single Poverty exemption (2015)</t>
  </si>
  <si>
    <t xml:space="preserve">  </t>
  </si>
  <si>
    <t xml:space="preserve"> </t>
  </si>
  <si>
    <t>Consolidation Annual Payment</t>
  </si>
  <si>
    <t>exempt</t>
  </si>
  <si>
    <t>annual PAYE</t>
  </si>
  <si>
    <t>annual interest</t>
  </si>
  <si>
    <t>p&amp;i</t>
  </si>
  <si>
    <t>Fill in values</t>
  </si>
  <si>
    <t>standard 10-year monthly</t>
  </si>
  <si>
    <t>fixed consolidation monthly</t>
  </si>
  <si>
    <t>hide rows 51-71</t>
  </si>
  <si>
    <t>rows 51-71 tax tables for calculating tax on forgiveness</t>
  </si>
  <si>
    <t>update tax tables</t>
  </si>
  <si>
    <t>% increase (*1.025)</t>
  </si>
  <si>
    <t>→</t>
  </si>
  <si>
    <t>IRS income</t>
  </si>
  <si>
    <t>Z71 - 15% IBR After Tax Income (AGI minus Standard Deduction &amp; Personal Exemption) Plus Forgiveness at 25th Year</t>
  </si>
  <si>
    <t>AGI calculation as scaled percent of income</t>
  </si>
  <si>
    <t>Year 25</t>
  </si>
  <si>
    <t>Year 20</t>
  </si>
  <si>
    <t>GradPLUS</t>
  </si>
  <si>
    <t>IBR15, PAYE, IBR10, REPAYE</t>
  </si>
  <si>
    <t>Married?</t>
  </si>
  <si>
    <t>Payment as share of discretionary income</t>
  </si>
  <si>
    <t>ibr15</t>
  </si>
  <si>
    <t>Repayment Plan</t>
  </si>
  <si>
    <t>PSLF for IBR15</t>
  </si>
  <si>
    <t>PSLF for PAYE (IBR10)</t>
  </si>
  <si>
    <t>manually populate</t>
  </si>
  <si>
    <t>Discretionary income</t>
  </si>
  <si>
    <t>Annual IDR based on chosen percentage</t>
  </si>
  <si>
    <t>IBR15 Monthly Payment ($)</t>
  </si>
  <si>
    <t>annual REPAYE</t>
  </si>
  <si>
    <t>PAYE cumulative negative amortization</t>
  </si>
  <si>
    <t>REPAYE cummulative negative amortization</t>
  </si>
  <si>
    <t>loan balance</t>
  </si>
  <si>
    <t>REPAYE Monthly Payment</t>
  </si>
  <si>
    <t>REPAYE</t>
  </si>
  <si>
    <t>PSLF for REPAYE</t>
  </si>
  <si>
    <t>agi-exemption plus forgiveness</t>
  </si>
  <si>
    <t>n/a</t>
  </si>
  <si>
    <t>REPAYE 20 years</t>
  </si>
  <si>
    <t>REPAYE 25 years</t>
  </si>
  <si>
    <t>PAYE (IBR10) max 20 Years</t>
  </si>
  <si>
    <t>annual IBR15</t>
  </si>
  <si>
    <t>PAYE 10% monthly payment ($)</t>
  </si>
  <si>
    <t>Family Size (do not count borrower in this #)</t>
  </si>
  <si>
    <t>Payments over 10 years</t>
  </si>
  <si>
    <t>Payments over 20 years</t>
  </si>
  <si>
    <t>Payments over 25 years</t>
  </si>
  <si>
    <t>PSLF after 10 years</t>
  </si>
  <si>
    <t>Forgiveness after 25 years</t>
  </si>
  <si>
    <t>Forgiveness after 20</t>
  </si>
  <si>
    <t>Estimated tax on 20 year forgiveness</t>
  </si>
  <si>
    <t>Estimated tax on 25 year forgiveness</t>
  </si>
  <si>
    <t>Payments over 20 years plus tax on 20 year forgiveness</t>
  </si>
  <si>
    <t>Payments over 25 years plus tax on 25 year forgiveness</t>
  </si>
  <si>
    <t>PAYE</t>
  </si>
  <si>
    <t>IBR10</t>
  </si>
  <si>
    <t>IBR15</t>
  </si>
  <si>
    <t>STAFFORD UNSUBSIDIZED</t>
  </si>
  <si>
    <t>VARIABLE</t>
  </si>
  <si>
    <t>NON-DEFAULTED, PAID IN FULL THROUGH CONSOLIDATION LOAN</t>
  </si>
  <si>
    <t>CANCELLED</t>
  </si>
  <si>
    <t>Type</t>
  </si>
  <si>
    <t>Date</t>
  </si>
  <si>
    <t>Amount</t>
  </si>
  <si>
    <t>Principal</t>
  </si>
  <si>
    <t>Interest</t>
  </si>
  <si>
    <t>Rate</t>
  </si>
  <si>
    <t>Weight factor</t>
  </si>
  <si>
    <t>Variable</t>
  </si>
  <si>
    <t>Status</t>
  </si>
  <si>
    <t>Loan</t>
  </si>
  <si>
    <t>Original</t>
  </si>
  <si>
    <t>Current</t>
  </si>
  <si>
    <t>Accrued</t>
  </si>
  <si>
    <t>Fixed or</t>
  </si>
  <si>
    <t>As Of Date</t>
  </si>
  <si>
    <t>$ Pmt</t>
  </si>
  <si>
    <t>Pmt Plan</t>
  </si>
  <si>
    <t>Private loan</t>
  </si>
  <si>
    <t>?</t>
  </si>
  <si>
    <t>If income is greater than 200k THEN no adjustment, AGI is income</t>
  </si>
  <si>
    <t>Poverty rate increases by 1.0258 each year</t>
  </si>
  <si>
    <t>10 year standard monthly</t>
  </si>
  <si>
    <t>interest weight factor</t>
  </si>
  <si>
    <t>If income is greater than 150k but less than or equal to 200 k, THEN AGI is 99 percent of income</t>
  </si>
  <si>
    <t>If his income is greater than 100k but less than or equal to 150k, THEN AGI equals 98 percent of income</t>
  </si>
  <si>
    <t>IF income is greater than 68k but less than or equal to 100k, THEN AGI equals 97 percent of income</t>
  </si>
  <si>
    <t>If income less than or equal to 68k, THEN AGI equals 95 percent of income</t>
  </si>
  <si>
    <t>Year</t>
  </si>
  <si>
    <t>1st 6 months</t>
  </si>
  <si>
    <t>2nd 6 months</t>
  </si>
  <si>
    <t>Salary</t>
  </si>
  <si>
    <t>Moonlighting</t>
  </si>
  <si>
    <t>Total Income</t>
  </si>
  <si>
    <t>add 3% annually</t>
  </si>
  <si>
    <t>2019…</t>
  </si>
  <si>
    <t>2022…</t>
  </si>
  <si>
    <t>Public Service</t>
  </si>
  <si>
    <t>Private</t>
  </si>
  <si>
    <t>Weight Factor</t>
  </si>
  <si>
    <t>Payments Plus Taxes</t>
  </si>
  <si>
    <t>Family Size</t>
  </si>
  <si>
    <t>AGI</t>
  </si>
  <si>
    <t>annual standard</t>
  </si>
  <si>
    <t>difference</t>
  </si>
  <si>
    <t>Tax on forgiveness</t>
  </si>
  <si>
    <t>After REPAYE</t>
  </si>
  <si>
    <t>After IBR15</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</si>
</sst>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0.000%"/>
    <numFmt numFmtId="167" formatCode="_(* #,##0_);_(* \(#,##0\);_(* &quot;-&quot;??_);_(@_)"/>
    <numFmt numFmtId="168" formatCode="[$-F800]dddd\,\ mmmm\ dd\,\ yyyy"/>
  </numFmts>
  <fonts count="18" x14ac:knownFonts="1">
    <font>
      <sz val="11"/>
      <color theme="1"/>
      <name val="Calibri"/>
      <family val="2"/>
      <scheme val="minor"/>
    </font>
    <font>
      <sz val="11"/>
      <name val="Times New Roman"/>
      <family val="1"/>
    </font>
    <font>
      <u/>
      <sz val="11"/>
      <color theme="10"/>
      <name val="Calibri"/>
      <family val="2"/>
      <scheme val="minor"/>
    </font>
    <font>
      <u/>
      <sz val="11"/>
      <color theme="11"/>
      <name val="Calibri"/>
      <family val="2"/>
      <scheme val="minor"/>
    </font>
    <font>
      <sz val="11"/>
      <color theme="1"/>
      <name val="Calibri"/>
      <family val="2"/>
      <scheme val="minor"/>
    </font>
    <font>
      <sz val="12"/>
      <color theme="1"/>
      <name val="Arial"/>
      <family val="2"/>
    </font>
    <font>
      <b/>
      <sz val="12"/>
      <name val="Arial"/>
      <family val="2"/>
    </font>
    <font>
      <b/>
      <sz val="12"/>
      <color theme="1"/>
      <name val="Arial"/>
      <family val="2"/>
    </font>
    <font>
      <sz val="12"/>
      <name val="Arial"/>
      <family val="2"/>
    </font>
    <font>
      <i/>
      <sz val="12"/>
      <color theme="1"/>
      <name val="Arial"/>
      <family val="2"/>
    </font>
    <font>
      <b/>
      <i/>
      <sz val="12"/>
      <color theme="1"/>
      <name val="Arial"/>
      <family val="2"/>
    </font>
    <font>
      <b/>
      <sz val="12"/>
      <color rgb="FF000000"/>
      <name val="Arial"/>
      <family val="2"/>
    </font>
    <font>
      <b/>
      <sz val="11"/>
      <color theme="1"/>
      <name val="Calibri"/>
      <family val="2"/>
      <scheme val="minor"/>
    </font>
    <font>
      <sz val="12"/>
      <color theme="1"/>
      <name val="Calibri"/>
      <family val="2"/>
    </font>
    <font>
      <sz val="12"/>
      <color rgb="FFFF0000"/>
      <name val="Arial"/>
      <family val="2"/>
    </font>
    <font>
      <sz val="11"/>
      <color theme="2" tint="-0.249977111117893"/>
      <name val="Calibri"/>
      <family val="2"/>
      <scheme val="minor"/>
    </font>
    <font>
      <sz val="12"/>
      <color theme="2" tint="-0.249977111117893"/>
      <name val="Arial"/>
      <family val="2"/>
    </font>
    <font>
      <sz val="11"/>
      <color rgb="FFFF0000"/>
      <name val="Calibri"/>
      <family val="2"/>
      <scheme val="minor"/>
    </font>
  </fonts>
  <fills count="12">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C000"/>
        <bgColor indexed="64"/>
      </patternFill>
    </fill>
    <fill>
      <patternFill patternType="solid">
        <fgColor theme="7" tint="0.79998168889431442"/>
        <bgColor indexed="64"/>
      </patternFill>
    </fill>
    <fill>
      <patternFill patternType="solid">
        <fgColor theme="9" tint="0.79998168889431442"/>
        <bgColor indexed="64"/>
      </patternFill>
    </fill>
  </fills>
  <borders count="21">
    <border>
      <left/>
      <right/>
      <top/>
      <bottom/>
      <diagonal/>
    </border>
    <border>
      <left style="thin">
        <color auto="1"/>
      </left>
      <right/>
      <top/>
      <bottom style="thin">
        <color auto="1"/>
      </bottom>
      <diagonal/>
    </border>
    <border>
      <left style="thin">
        <color auto="1"/>
      </left>
      <right/>
      <top style="thin">
        <color auto="1"/>
      </top>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medium">
        <color indexed="64"/>
      </top>
      <bottom/>
      <diagonal/>
    </border>
    <border>
      <left/>
      <right style="thin">
        <color auto="1"/>
      </right>
      <top/>
      <bottom style="medium">
        <color indexed="64"/>
      </bottom>
      <diagonal/>
    </border>
  </borders>
  <cellStyleXfs count="75">
    <xf numFmtId="0" fontId="0"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44" fontId="4" fillId="0" borderId="0" applyFont="0" applyFill="0" applyBorder="0" applyAlignment="0" applyProtection="0"/>
    <xf numFmtId="9" fontId="4" fillId="0" borderId="0" applyFont="0" applyFill="0" applyBorder="0" applyAlignment="0" applyProtection="0"/>
  </cellStyleXfs>
  <cellXfs count="295">
    <xf numFmtId="0" fontId="0" fillId="0" borderId="0" xfId="0"/>
    <xf numFmtId="0" fontId="5" fillId="0" borderId="0" xfId="0" applyFont="1" applyFill="1" applyBorder="1"/>
    <xf numFmtId="0" fontId="8" fillId="0" borderId="0" xfId="1" applyFont="1" applyFill="1" applyBorder="1"/>
    <xf numFmtId="1" fontId="8" fillId="0" borderId="0" xfId="2" applyNumberFormat="1" applyFont="1" applyFill="1" applyBorder="1" applyProtection="1"/>
    <xf numFmtId="42" fontId="8" fillId="0" borderId="0" xfId="2" applyNumberFormat="1" applyFont="1" applyFill="1" applyBorder="1" applyProtection="1"/>
    <xf numFmtId="164" fontId="8" fillId="0" borderId="0" xfId="2" applyNumberFormat="1" applyFont="1" applyFill="1" applyBorder="1" applyProtection="1"/>
    <xf numFmtId="4" fontId="8" fillId="0" borderId="0" xfId="2" applyNumberFormat="1" applyFont="1" applyFill="1" applyBorder="1" applyProtection="1"/>
    <xf numFmtId="10" fontId="8" fillId="0" borderId="0" xfId="2" applyNumberFormat="1" applyFont="1" applyFill="1" applyBorder="1" applyProtection="1"/>
    <xf numFmtId="164" fontId="5" fillId="0" borderId="0" xfId="0" applyNumberFormat="1" applyFont="1" applyFill="1" applyBorder="1"/>
    <xf numFmtId="0" fontId="7" fillId="0" borderId="0" xfId="0" applyFont="1" applyFill="1" applyBorder="1"/>
    <xf numFmtId="5" fontId="5" fillId="0" borderId="0" xfId="0" applyNumberFormat="1" applyFont="1" applyFill="1" applyBorder="1"/>
    <xf numFmtId="3" fontId="8" fillId="0" borderId="0" xfId="0" applyNumberFormat="1" applyFont="1" applyFill="1" applyBorder="1"/>
    <xf numFmtId="0" fontId="6" fillId="0" borderId="0" xfId="1" applyFont="1" applyFill="1" applyBorder="1"/>
    <xf numFmtId="164" fontId="5" fillId="0" borderId="0" xfId="0" applyNumberFormat="1" applyFont="1" applyFill="1" applyBorder="1" applyAlignment="1">
      <alignment wrapText="1"/>
    </xf>
    <xf numFmtId="41" fontId="5" fillId="0" borderId="0" xfId="0" applyNumberFormat="1" applyFont="1" applyFill="1" applyBorder="1"/>
    <xf numFmtId="0" fontId="5" fillId="0" borderId="0" xfId="0" applyFont="1" applyFill="1" applyBorder="1" applyAlignment="1">
      <alignment vertical="top"/>
    </xf>
    <xf numFmtId="5" fontId="5" fillId="0" borderId="0" xfId="0" applyNumberFormat="1" applyFont="1" applyFill="1" applyBorder="1" applyAlignment="1">
      <alignment wrapText="1"/>
    </xf>
    <xf numFmtId="168" fontId="5" fillId="0" borderId="0" xfId="0" applyNumberFormat="1" applyFont="1" applyFill="1" applyBorder="1"/>
    <xf numFmtId="0" fontId="8" fillId="0" borderId="0" xfId="1" applyFont="1" applyFill="1" applyBorder="1" applyAlignment="1">
      <alignment horizontal="right"/>
    </xf>
    <xf numFmtId="3" fontId="5" fillId="0" borderId="0" xfId="0" applyNumberFormat="1" applyFont="1" applyFill="1" applyBorder="1"/>
    <xf numFmtId="3" fontId="9" fillId="0" borderId="0" xfId="0" applyNumberFormat="1" applyFont="1" applyFill="1" applyBorder="1"/>
    <xf numFmtId="165" fontId="10" fillId="0" borderId="0" xfId="0" applyNumberFormat="1" applyFont="1" applyFill="1" applyBorder="1"/>
    <xf numFmtId="164" fontId="7" fillId="0" borderId="0" xfId="0" applyNumberFormat="1" applyFont="1" applyFill="1" applyBorder="1"/>
    <xf numFmtId="43" fontId="5" fillId="0" borderId="0" xfId="0" applyNumberFormat="1" applyFont="1" applyFill="1" applyBorder="1"/>
    <xf numFmtId="42" fontId="7" fillId="0" borderId="0" xfId="0" applyNumberFormat="1" applyFont="1" applyFill="1" applyBorder="1"/>
    <xf numFmtId="8" fontId="5" fillId="0" borderId="0" xfId="0" applyNumberFormat="1" applyFont="1" applyFill="1" applyBorder="1"/>
    <xf numFmtId="1" fontId="5" fillId="0" borderId="0" xfId="0" applyNumberFormat="1" applyFont="1" applyFill="1" applyBorder="1"/>
    <xf numFmtId="41" fontId="9" fillId="0" borderId="0" xfId="0" applyNumberFormat="1" applyFont="1" applyFill="1" applyBorder="1"/>
    <xf numFmtId="0" fontId="5" fillId="0" borderId="0" xfId="0" applyFont="1" applyFill="1" applyBorder="1" applyAlignment="1">
      <alignment vertical="top" wrapText="1"/>
    </xf>
    <xf numFmtId="0" fontId="5" fillId="0" borderId="0" xfId="0" applyFont="1" applyFill="1" applyBorder="1" applyAlignment="1">
      <alignment horizontal="right"/>
    </xf>
    <xf numFmtId="10" fontId="5" fillId="0" borderId="0" xfId="0" applyNumberFormat="1" applyFont="1" applyFill="1" applyBorder="1"/>
    <xf numFmtId="166" fontId="8" fillId="0" borderId="0" xfId="1" applyNumberFormat="1" applyFont="1" applyFill="1" applyBorder="1" applyProtection="1"/>
    <xf numFmtId="0" fontId="5" fillId="0" borderId="0" xfId="0" applyFont="1" applyFill="1" applyBorder="1" applyAlignment="1">
      <alignment vertical="center" wrapText="1"/>
    </xf>
    <xf numFmtId="167" fontId="8" fillId="0" borderId="0" xfId="3" applyNumberFormat="1" applyFont="1" applyFill="1" applyBorder="1" applyProtection="1">
      <protection locked="0"/>
    </xf>
    <xf numFmtId="46" fontId="5" fillId="0" borderId="0" xfId="0" applyNumberFormat="1" applyFont="1" applyFill="1" applyBorder="1"/>
    <xf numFmtId="1" fontId="8" fillId="0" borderId="0" xfId="2" applyNumberFormat="1" applyFont="1" applyFill="1" applyBorder="1" applyAlignment="1" applyProtection="1">
      <alignment horizontal="right" vertical="center"/>
    </xf>
    <xf numFmtId="1" fontId="8" fillId="0" borderId="0" xfId="2" applyNumberFormat="1" applyFont="1" applyFill="1" applyBorder="1" applyAlignment="1" applyProtection="1">
      <alignment horizontal="right" vertical="center"/>
      <protection locked="0"/>
    </xf>
    <xf numFmtId="1" fontId="5" fillId="0" borderId="0" xfId="4" applyNumberFormat="1" applyFont="1" applyFill="1" applyBorder="1"/>
    <xf numFmtId="166" fontId="5" fillId="0" borderId="0" xfId="0" applyNumberFormat="1" applyFont="1" applyFill="1" applyBorder="1"/>
    <xf numFmtId="0" fontId="8" fillId="0" borderId="0" xfId="0" applyFont="1" applyFill="1" applyBorder="1" applyAlignment="1">
      <alignment vertical="top" wrapText="1"/>
    </xf>
    <xf numFmtId="0" fontId="8" fillId="0" borderId="0" xfId="0" applyFont="1" applyFill="1" applyBorder="1"/>
    <xf numFmtId="0" fontId="6" fillId="0" borderId="0" xfId="0" applyFont="1" applyFill="1" applyBorder="1"/>
    <xf numFmtId="0" fontId="5" fillId="0" borderId="0" xfId="0" applyFont="1" applyFill="1" applyBorder="1" applyAlignment="1">
      <alignment horizontal="left" vertical="center"/>
    </xf>
    <xf numFmtId="41" fontId="5" fillId="0" borderId="0" xfId="0" applyNumberFormat="1" applyFont="1" applyFill="1" applyBorder="1" applyAlignment="1">
      <alignment wrapText="1"/>
    </xf>
    <xf numFmtId="0" fontId="5" fillId="0" borderId="0" xfId="0" applyFont="1" applyFill="1" applyBorder="1" applyAlignment="1">
      <alignment horizontal="left" indent="1"/>
    </xf>
    <xf numFmtId="3" fontId="10" fillId="0" borderId="0" xfId="0" applyNumberFormat="1" applyFont="1" applyFill="1" applyBorder="1"/>
    <xf numFmtId="164" fontId="8" fillId="0" borderId="0" xfId="1" applyNumberFormat="1" applyFont="1" applyFill="1" applyBorder="1"/>
    <xf numFmtId="42" fontId="5" fillId="0" borderId="0" xfId="0" applyNumberFormat="1" applyFont="1" applyFill="1" applyBorder="1"/>
    <xf numFmtId="0" fontId="7" fillId="0" borderId="0" xfId="0" applyFont="1" applyFill="1" applyBorder="1" applyAlignment="1">
      <alignment vertical="top" wrapText="1"/>
    </xf>
    <xf numFmtId="0" fontId="5" fillId="0" borderId="0" xfId="0" applyFont="1" applyFill="1" applyBorder="1" applyAlignment="1">
      <alignment horizontal="left" wrapText="1"/>
    </xf>
    <xf numFmtId="0" fontId="8" fillId="0" borderId="7" xfId="1" applyFont="1" applyFill="1" applyBorder="1"/>
    <xf numFmtId="0" fontId="5" fillId="0" borderId="8" xfId="0" applyFont="1" applyFill="1" applyBorder="1"/>
    <xf numFmtId="0" fontId="5" fillId="0" borderId="8" xfId="0" applyFont="1" applyFill="1" applyBorder="1" applyAlignment="1" applyProtection="1">
      <alignment horizontal="right"/>
    </xf>
    <xf numFmtId="0" fontId="5" fillId="0" borderId="6" xfId="0" applyFont="1" applyFill="1" applyBorder="1" applyProtection="1"/>
    <xf numFmtId="8" fontId="8" fillId="0" borderId="0" xfId="0" applyNumberFormat="1" applyFont="1" applyFill="1" applyBorder="1"/>
    <xf numFmtId="10" fontId="8" fillId="0" borderId="0" xfId="2" applyNumberFormat="1" applyFont="1" applyFill="1" applyBorder="1" applyAlignment="1" applyProtection="1">
      <alignment horizontal="left"/>
    </xf>
    <xf numFmtId="41" fontId="5" fillId="0" borderId="0" xfId="0" applyNumberFormat="1" applyFont="1" applyFill="1" applyBorder="1" applyAlignment="1">
      <alignment vertical="top"/>
    </xf>
    <xf numFmtId="41" fontId="5" fillId="0" borderId="0" xfId="0" applyNumberFormat="1" applyFont="1" applyFill="1" applyBorder="1" applyAlignment="1">
      <alignment horizontal="left" vertical="center" wrapText="1"/>
    </xf>
    <xf numFmtId="0" fontId="5" fillId="0" borderId="0" xfId="0" applyFont="1" applyFill="1" applyBorder="1" applyAlignment="1">
      <alignment horizontal="right" vertical="top"/>
    </xf>
    <xf numFmtId="0" fontId="5" fillId="0" borderId="0" xfId="0" applyFont="1" applyFill="1" applyBorder="1" applyAlignment="1">
      <alignment horizontal="right" vertical="top" wrapText="1"/>
    </xf>
    <xf numFmtId="0" fontId="7" fillId="0" borderId="0" xfId="0" applyFont="1" applyFill="1" applyBorder="1" applyAlignment="1">
      <alignment horizontal="right" vertical="top"/>
    </xf>
    <xf numFmtId="0" fontId="13" fillId="0" borderId="0" xfId="0" applyFont="1" applyFill="1" applyBorder="1"/>
    <xf numFmtId="0" fontId="0" fillId="0" borderId="0" xfId="0" applyAlignment="1">
      <alignment vertical="center"/>
    </xf>
    <xf numFmtId="0" fontId="12" fillId="0" borderId="0" xfId="0" applyFont="1" applyAlignment="1">
      <alignment vertical="center"/>
    </xf>
    <xf numFmtId="0" fontId="14" fillId="0" borderId="0" xfId="0" applyFont="1" applyFill="1" applyBorder="1" applyAlignment="1">
      <alignment horizontal="left" vertical="center" wrapText="1"/>
    </xf>
    <xf numFmtId="9" fontId="8" fillId="0" borderId="3" xfId="74" applyNumberFormat="1" applyFont="1" applyFill="1" applyBorder="1" applyAlignment="1" applyProtection="1">
      <alignment horizontal="right" vertical="center"/>
    </xf>
    <xf numFmtId="10" fontId="5" fillId="0" borderId="0" xfId="74" applyNumberFormat="1" applyFont="1" applyFill="1" applyBorder="1"/>
    <xf numFmtId="0" fontId="8" fillId="0" borderId="1" xfId="1" applyFont="1" applyFill="1" applyBorder="1" applyAlignment="1">
      <alignment wrapText="1"/>
    </xf>
    <xf numFmtId="0" fontId="8" fillId="0" borderId="7" xfId="1" applyFont="1" applyFill="1" applyBorder="1" applyAlignment="1">
      <alignment wrapText="1"/>
    </xf>
    <xf numFmtId="0" fontId="5" fillId="0" borderId="0" xfId="0" applyFont="1" applyFill="1" applyBorder="1" applyAlignment="1">
      <alignment horizontal="left" vertical="center" wrapText="1"/>
    </xf>
    <xf numFmtId="0" fontId="7" fillId="0" borderId="0" xfId="0" applyFont="1" applyFill="1" applyBorder="1" applyAlignment="1">
      <alignment horizontal="right"/>
    </xf>
    <xf numFmtId="164" fontId="5" fillId="0" borderId="0" xfId="0" applyNumberFormat="1" applyFont="1" applyFill="1" applyBorder="1" applyAlignment="1">
      <alignment horizontal="right"/>
    </xf>
    <xf numFmtId="0" fontId="5" fillId="0" borderId="0" xfId="0" applyFont="1" applyFill="1" applyBorder="1" applyAlignment="1">
      <alignment horizontal="left"/>
    </xf>
    <xf numFmtId="165" fontId="5" fillId="0" borderId="0" xfId="0" applyNumberFormat="1" applyFont="1" applyFill="1" applyBorder="1" applyAlignment="1">
      <alignment horizontal="right"/>
    </xf>
    <xf numFmtId="164" fontId="7" fillId="0" borderId="0" xfId="0" applyNumberFormat="1" applyFont="1" applyFill="1" applyBorder="1" applyAlignment="1">
      <alignment horizontal="right"/>
    </xf>
    <xf numFmtId="0" fontId="5" fillId="0" borderId="0" xfId="0" applyFont="1" applyFill="1" applyBorder="1" applyAlignment="1">
      <alignment horizontal="left"/>
    </xf>
    <xf numFmtId="165" fontId="5" fillId="0" borderId="0" xfId="0" applyNumberFormat="1" applyFont="1" applyFill="1" applyBorder="1" applyAlignment="1">
      <alignment horizontal="right"/>
    </xf>
    <xf numFmtId="0" fontId="7" fillId="0" borderId="0" xfId="0" applyFont="1" applyFill="1" applyBorder="1" applyAlignment="1">
      <alignment horizontal="right"/>
    </xf>
    <xf numFmtId="164" fontId="5" fillId="0" borderId="0" xfId="0" applyNumberFormat="1" applyFont="1" applyFill="1" applyBorder="1" applyAlignment="1">
      <alignment horizontal="right"/>
    </xf>
    <xf numFmtId="0" fontId="5" fillId="0" borderId="0" xfId="0" applyFont="1" applyFill="1" applyBorder="1" applyAlignment="1">
      <alignment horizontal="left" vertical="center" wrapText="1"/>
    </xf>
    <xf numFmtId="1" fontId="5" fillId="0" borderId="0" xfId="73" applyNumberFormat="1" applyFont="1" applyFill="1" applyBorder="1"/>
    <xf numFmtId="5" fontId="8" fillId="0" borderId="0" xfId="0" applyNumberFormat="1" applyFont="1" applyFill="1" applyBorder="1"/>
    <xf numFmtId="164" fontId="8" fillId="0" borderId="0" xfId="0" applyNumberFormat="1" applyFont="1" applyFill="1" applyBorder="1"/>
    <xf numFmtId="164" fontId="5" fillId="0" borderId="0" xfId="0" applyNumberFormat="1" applyFont="1" applyFill="1" applyBorder="1" applyAlignment="1"/>
    <xf numFmtId="5" fontId="8" fillId="0" borderId="0" xfId="2" applyNumberFormat="1" applyFont="1" applyFill="1" applyBorder="1" applyAlignment="1" applyProtection="1">
      <alignment horizontal="right"/>
    </xf>
    <xf numFmtId="0" fontId="5" fillId="0" borderId="9" xfId="0" applyFont="1" applyFill="1" applyBorder="1"/>
    <xf numFmtId="0" fontId="5" fillId="0" borderId="10" xfId="0" applyFont="1" applyFill="1" applyBorder="1"/>
    <xf numFmtId="166" fontId="5" fillId="0" borderId="11" xfId="0" applyNumberFormat="1" applyFont="1" applyFill="1" applyBorder="1"/>
    <xf numFmtId="0" fontId="5" fillId="0" borderId="12" xfId="0" applyFont="1" applyFill="1" applyBorder="1"/>
    <xf numFmtId="0" fontId="5" fillId="0" borderId="13" xfId="0" applyFont="1" applyFill="1" applyBorder="1"/>
    <xf numFmtId="0" fontId="5" fillId="0" borderId="11" xfId="0" applyFont="1" applyFill="1" applyBorder="1"/>
    <xf numFmtId="0" fontId="5" fillId="0" borderId="15" xfId="0" applyFont="1" applyFill="1" applyBorder="1"/>
    <xf numFmtId="0" fontId="5" fillId="0" borderId="16" xfId="0" applyFont="1" applyFill="1" applyBorder="1"/>
    <xf numFmtId="0" fontId="5" fillId="0" borderId="14" xfId="0" applyFont="1" applyFill="1" applyBorder="1"/>
    <xf numFmtId="3" fontId="5" fillId="0" borderId="16" xfId="0" applyNumberFormat="1" applyFont="1" applyFill="1" applyBorder="1"/>
    <xf numFmtId="0" fontId="5" fillId="0" borderId="11" xfId="0" applyFont="1" applyFill="1" applyBorder="1" applyAlignment="1">
      <alignment horizontal="right"/>
    </xf>
    <xf numFmtId="0" fontId="5" fillId="0" borderId="16" xfId="0" applyFont="1" applyFill="1" applyBorder="1" applyAlignment="1">
      <alignment horizontal="right"/>
    </xf>
    <xf numFmtId="165" fontId="5" fillId="0" borderId="13" xfId="0" applyNumberFormat="1" applyFont="1" applyFill="1" applyBorder="1" applyAlignment="1"/>
    <xf numFmtId="165" fontId="5" fillId="0" borderId="14" xfId="0" applyNumberFormat="1" applyFont="1" applyFill="1" applyBorder="1"/>
    <xf numFmtId="41" fontId="5" fillId="0" borderId="9" xfId="0" applyNumberFormat="1" applyFont="1" applyFill="1" applyBorder="1"/>
    <xf numFmtId="0" fontId="7" fillId="0" borderId="10" xfId="0" applyFont="1" applyFill="1" applyBorder="1" applyAlignment="1">
      <alignment horizontal="right"/>
    </xf>
    <xf numFmtId="0" fontId="7" fillId="0" borderId="13" xfId="0" applyFont="1" applyFill="1" applyBorder="1" applyAlignment="1">
      <alignment horizontal="right"/>
    </xf>
    <xf numFmtId="0" fontId="5" fillId="0" borderId="14" xfId="0" applyFont="1" applyFill="1" applyBorder="1" applyAlignment="1">
      <alignment horizontal="right"/>
    </xf>
    <xf numFmtId="9" fontId="7" fillId="0" borderId="11" xfId="0" applyNumberFormat="1" applyFont="1" applyFill="1" applyBorder="1" applyAlignment="1">
      <alignment horizontal="right"/>
    </xf>
    <xf numFmtId="164" fontId="5" fillId="0" borderId="13" xfId="0" applyNumberFormat="1" applyFont="1" applyFill="1" applyBorder="1" applyAlignment="1">
      <alignment horizontal="right"/>
    </xf>
    <xf numFmtId="164" fontId="5" fillId="0" borderId="14" xfId="0" applyNumberFormat="1" applyFont="1" applyFill="1" applyBorder="1" applyAlignment="1">
      <alignment horizontal="right"/>
    </xf>
    <xf numFmtId="0" fontId="7" fillId="0" borderId="10" xfId="0" applyFont="1" applyFill="1" applyBorder="1" applyAlignment="1">
      <alignment horizontal="right"/>
    </xf>
    <xf numFmtId="0" fontId="7" fillId="0" borderId="16" xfId="0" applyFont="1" applyFill="1" applyBorder="1" applyAlignment="1">
      <alignment horizontal="right"/>
    </xf>
    <xf numFmtId="164" fontId="5" fillId="0" borderId="13" xfId="0" applyNumberFormat="1" applyFont="1" applyFill="1" applyBorder="1"/>
    <xf numFmtId="0" fontId="7" fillId="0" borderId="14" xfId="0" applyFont="1" applyFill="1" applyBorder="1" applyAlignment="1">
      <alignment horizontal="right"/>
    </xf>
    <xf numFmtId="164" fontId="7" fillId="0" borderId="10" xfId="0" applyNumberFormat="1" applyFont="1" applyFill="1" applyBorder="1" applyAlignment="1">
      <alignment horizontal="right" vertical="top"/>
    </xf>
    <xf numFmtId="164" fontId="5" fillId="0" borderId="13" xfId="0" applyNumberFormat="1" applyFont="1" applyFill="1" applyBorder="1" applyAlignment="1">
      <alignment wrapText="1"/>
    </xf>
    <xf numFmtId="164" fontId="5" fillId="0" borderId="0" xfId="0" applyNumberFormat="1" applyFont="1" applyFill="1" applyBorder="1" applyAlignment="1">
      <alignment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0" xfId="0" applyFont="1" applyFill="1" applyBorder="1" applyAlignment="1">
      <alignment vertical="top" wrapText="1"/>
    </xf>
    <xf numFmtId="0" fontId="5" fillId="0" borderId="11" xfId="0" applyFont="1" applyFill="1" applyBorder="1" applyAlignment="1">
      <alignment vertical="top" wrapText="1"/>
    </xf>
    <xf numFmtId="0" fontId="5" fillId="0" borderId="15" xfId="0" applyFont="1" applyFill="1" applyBorder="1" applyAlignment="1">
      <alignment horizontal="left" vertical="center" wrapText="1"/>
    </xf>
    <xf numFmtId="0" fontId="5" fillId="0" borderId="15" xfId="0" applyFont="1" applyFill="1" applyBorder="1" applyAlignment="1">
      <alignment vertical="center" wrapText="1"/>
    </xf>
    <xf numFmtId="0" fontId="5" fillId="0" borderId="12" xfId="0" applyFont="1" applyFill="1" applyBorder="1" applyAlignment="1">
      <alignment vertical="center" wrapText="1"/>
    </xf>
    <xf numFmtId="164" fontId="5" fillId="0" borderId="0" xfId="0" applyNumberFormat="1" applyFont="1" applyFill="1" applyBorder="1" applyAlignment="1">
      <alignment horizontal="right" vertical="top" wrapText="1"/>
    </xf>
    <xf numFmtId="164" fontId="5" fillId="0" borderId="16" xfId="0" applyNumberFormat="1" applyFont="1" applyFill="1" applyBorder="1" applyAlignment="1">
      <alignment horizontal="right" vertical="top" wrapText="1"/>
    </xf>
    <xf numFmtId="164" fontId="5" fillId="0" borderId="13" xfId="0" applyNumberFormat="1" applyFont="1" applyFill="1" applyBorder="1" applyAlignment="1">
      <alignment horizontal="right" vertical="top" wrapText="1"/>
    </xf>
    <xf numFmtId="164" fontId="5" fillId="0" borderId="14" xfId="0" applyNumberFormat="1" applyFont="1" applyFill="1" applyBorder="1" applyAlignment="1">
      <alignment horizontal="right" vertical="top" wrapText="1"/>
    </xf>
    <xf numFmtId="164" fontId="6" fillId="0" borderId="9" xfId="1" applyNumberFormat="1" applyFont="1" applyFill="1" applyBorder="1" applyAlignment="1">
      <alignment horizontal="right" vertical="top"/>
    </xf>
    <xf numFmtId="164" fontId="7" fillId="0" borderId="11" xfId="0" applyNumberFormat="1" applyFont="1" applyFill="1" applyBorder="1" applyAlignment="1">
      <alignment horizontal="right" vertical="top"/>
    </xf>
    <xf numFmtId="164" fontId="5" fillId="0" borderId="15" xfId="0" applyNumberFormat="1" applyFont="1" applyFill="1" applyBorder="1"/>
    <xf numFmtId="164" fontId="8" fillId="0" borderId="0" xfId="2" applyNumberFormat="1" applyFont="1" applyFill="1" applyBorder="1" applyAlignment="1" applyProtection="1"/>
    <xf numFmtId="164" fontId="5" fillId="0" borderId="16" xfId="73" applyNumberFormat="1" applyFont="1" applyFill="1" applyBorder="1" applyAlignment="1">
      <alignment horizontal="right"/>
    </xf>
    <xf numFmtId="164" fontId="8" fillId="0" borderId="0" xfId="2" applyNumberFormat="1" applyFont="1" applyFill="1" applyBorder="1" applyAlignment="1" applyProtection="1">
      <alignment horizontal="right"/>
    </xf>
    <xf numFmtId="164" fontId="8" fillId="0" borderId="15" xfId="1" applyNumberFormat="1" applyFont="1" applyFill="1" applyBorder="1"/>
    <xf numFmtId="164" fontId="5" fillId="0" borderId="16" xfId="0" applyNumberFormat="1" applyFont="1" applyFill="1" applyBorder="1" applyAlignment="1">
      <alignment horizontal="right"/>
    </xf>
    <xf numFmtId="164" fontId="8" fillId="0" borderId="12" xfId="1" applyNumberFormat="1" applyFont="1" applyFill="1" applyBorder="1"/>
    <xf numFmtId="164" fontId="5" fillId="0" borderId="14" xfId="0" applyNumberFormat="1" applyFont="1" applyFill="1" applyBorder="1"/>
    <xf numFmtId="14" fontId="0" fillId="0" borderId="0" xfId="0" applyNumberFormat="1"/>
    <xf numFmtId="10" fontId="0" fillId="0" borderId="0" xfId="0" applyNumberFormat="1"/>
    <xf numFmtId="0" fontId="12" fillId="0" borderId="0" xfId="0" applyFont="1"/>
    <xf numFmtId="14" fontId="12" fillId="0" borderId="0" xfId="0" applyNumberFormat="1" applyFont="1"/>
    <xf numFmtId="164" fontId="12" fillId="0" borderId="0" xfId="0" applyNumberFormat="1" applyFont="1"/>
    <xf numFmtId="10" fontId="12" fillId="0" borderId="0" xfId="0" applyNumberFormat="1" applyFont="1"/>
    <xf numFmtId="0" fontId="0" fillId="2" borderId="0" xfId="0" applyFill="1"/>
    <xf numFmtId="164" fontId="0" fillId="0" borderId="0" xfId="0" applyNumberFormat="1"/>
    <xf numFmtId="10" fontId="0" fillId="6" borderId="0" xfId="74" applyNumberFormat="1" applyFont="1" applyFill="1"/>
    <xf numFmtId="0" fontId="0" fillId="7" borderId="0" xfId="0" applyFill="1"/>
    <xf numFmtId="0" fontId="0" fillId="0" borderId="0" xfId="0" applyFill="1"/>
    <xf numFmtId="14" fontId="0" fillId="0" borderId="0" xfId="0" applyNumberFormat="1" applyFill="1"/>
    <xf numFmtId="164" fontId="0" fillId="0" borderId="0" xfId="0" applyNumberFormat="1" applyFill="1"/>
    <xf numFmtId="164" fontId="0" fillId="0" borderId="17" xfId="0" applyNumberFormat="1" applyFill="1" applyBorder="1"/>
    <xf numFmtId="10" fontId="0" fillId="0" borderId="18" xfId="74" applyNumberFormat="1" applyFont="1" applyFill="1" applyBorder="1"/>
    <xf numFmtId="10" fontId="0" fillId="0" borderId="0" xfId="74" applyNumberFormat="1" applyFont="1" applyFill="1"/>
    <xf numFmtId="0" fontId="0" fillId="8" borderId="0" xfId="0" applyFill="1"/>
    <xf numFmtId="10" fontId="0" fillId="9" borderId="0" xfId="0" applyNumberFormat="1" applyFill="1"/>
    <xf numFmtId="10" fontId="0" fillId="3" borderId="0" xfId="0" applyNumberFormat="1" applyFill="1"/>
    <xf numFmtId="10" fontId="0" fillId="0" borderId="0" xfId="0" applyNumberFormat="1" applyFill="1"/>
    <xf numFmtId="164" fontId="0" fillId="0" borderId="0" xfId="0" applyNumberFormat="1" applyBorder="1"/>
    <xf numFmtId="10" fontId="0" fillId="3" borderId="0" xfId="0" applyNumberFormat="1" applyFill="1" applyBorder="1"/>
    <xf numFmtId="0" fontId="0" fillId="11" borderId="0" xfId="0" applyFill="1"/>
    <xf numFmtId="0" fontId="15" fillId="0" borderId="0" xfId="0" applyFont="1"/>
    <xf numFmtId="14" fontId="15" fillId="0" borderId="0" xfId="0" applyNumberFormat="1" applyFont="1"/>
    <xf numFmtId="164" fontId="15" fillId="0" borderId="0" xfId="0" applyNumberFormat="1" applyFont="1"/>
    <xf numFmtId="10" fontId="15" fillId="0" borderId="0" xfId="0" applyNumberFormat="1" applyFont="1" applyFill="1"/>
    <xf numFmtId="0" fontId="16" fillId="0" borderId="0" xfId="0" applyFont="1" applyFill="1" applyBorder="1" applyAlignment="1">
      <alignment horizontal="left" vertical="center" wrapText="1"/>
    </xf>
    <xf numFmtId="0" fontId="16" fillId="0" borderId="15" xfId="0" applyFont="1" applyFill="1" applyBorder="1" applyAlignment="1">
      <alignment horizontal="left" vertical="center" wrapText="1"/>
    </xf>
    <xf numFmtId="0" fontId="16" fillId="0" borderId="0" xfId="0" applyFont="1" applyFill="1" applyBorder="1" applyAlignment="1">
      <alignment vertical="center" wrapText="1"/>
    </xf>
    <xf numFmtId="0" fontId="16" fillId="0" borderId="15" xfId="0" applyFont="1" applyFill="1" applyBorder="1" applyAlignment="1">
      <alignment vertical="center" wrapText="1"/>
    </xf>
    <xf numFmtId="0" fontId="16" fillId="0" borderId="10" xfId="0" applyFont="1" applyFill="1" applyBorder="1" applyAlignment="1">
      <alignment horizontal="left" vertical="center" wrapText="1"/>
    </xf>
    <xf numFmtId="164" fontId="16" fillId="0" borderId="0" xfId="0" applyNumberFormat="1" applyFont="1" applyFill="1" applyBorder="1" applyAlignment="1">
      <alignment horizontal="right" vertical="top" wrapText="1"/>
    </xf>
    <xf numFmtId="164" fontId="16" fillId="0" borderId="13" xfId="0" applyNumberFormat="1" applyFont="1" applyFill="1" applyBorder="1" applyAlignment="1">
      <alignment horizontal="right" vertical="top" wrapText="1"/>
    </xf>
    <xf numFmtId="0" fontId="8" fillId="0" borderId="2" xfId="1" applyFont="1" applyFill="1" applyBorder="1" applyAlignment="1">
      <alignment horizontal="left"/>
    </xf>
    <xf numFmtId="0" fontId="6" fillId="0" borderId="4" xfId="1" applyFont="1" applyFill="1" applyBorder="1" applyAlignment="1">
      <alignment horizontal="left"/>
    </xf>
    <xf numFmtId="0" fontId="7" fillId="0" borderId="5" xfId="0" applyFont="1" applyFill="1" applyBorder="1" applyAlignment="1">
      <alignment horizontal="left"/>
    </xf>
    <xf numFmtId="0" fontId="8" fillId="0" borderId="7" xfId="1" applyFont="1" applyFill="1" applyBorder="1" applyAlignment="1">
      <alignment horizontal="left"/>
    </xf>
    <xf numFmtId="164" fontId="8" fillId="0" borderId="0" xfId="1" applyNumberFormat="1" applyFont="1" applyFill="1" applyBorder="1" applyAlignment="1" applyProtection="1">
      <alignment horizontal="right" vertical="center"/>
      <protection locked="0"/>
    </xf>
    <xf numFmtId="10" fontId="5" fillId="0" borderId="8" xfId="0" applyNumberFormat="1" applyFont="1" applyFill="1" applyBorder="1" applyAlignment="1" applyProtection="1">
      <alignment horizontal="right" vertical="center"/>
      <protection locked="0"/>
    </xf>
    <xf numFmtId="164" fontId="8" fillId="0" borderId="0" xfId="1" applyNumberFormat="1" applyFont="1" applyFill="1" applyBorder="1" applyAlignment="1">
      <alignment horizontal="right" vertical="center"/>
    </xf>
    <xf numFmtId="10" fontId="5" fillId="0" borderId="8" xfId="0" applyNumberFormat="1" applyFont="1" applyFill="1" applyBorder="1" applyAlignment="1">
      <alignment horizontal="right" vertical="center"/>
    </xf>
    <xf numFmtId="166" fontId="5" fillId="0" borderId="8" xfId="0" applyNumberFormat="1" applyFont="1" applyFill="1" applyBorder="1"/>
    <xf numFmtId="167" fontId="8" fillId="0" borderId="0" xfId="3" applyNumberFormat="1" applyFont="1" applyFill="1" applyBorder="1" applyAlignment="1" applyProtection="1">
      <alignment horizontal="right" vertical="center"/>
    </xf>
    <xf numFmtId="0" fontId="5" fillId="0" borderId="0" xfId="0" applyFont="1" applyFill="1" applyBorder="1" applyAlignment="1">
      <alignment horizontal="left" wrapText="1" indent="1"/>
    </xf>
    <xf numFmtId="9" fontId="7" fillId="0" borderId="0" xfId="0" applyNumberFormat="1" applyFont="1" applyFill="1" applyBorder="1" applyAlignment="1">
      <alignment horizontal="left"/>
    </xf>
    <xf numFmtId="10" fontId="7" fillId="0" borderId="0" xfId="0" applyNumberFormat="1" applyFont="1" applyFill="1" applyBorder="1" applyAlignment="1">
      <alignment horizontal="left"/>
    </xf>
    <xf numFmtId="1" fontId="8" fillId="0" borderId="0" xfId="73" applyNumberFormat="1" applyFont="1" applyFill="1" applyBorder="1"/>
    <xf numFmtId="3" fontId="5" fillId="0" borderId="0" xfId="0" applyNumberFormat="1" applyFont="1" applyFill="1" applyBorder="1" applyProtection="1">
      <protection locked="0"/>
    </xf>
    <xf numFmtId="0" fontId="12" fillId="0" borderId="15" xfId="0" applyFont="1" applyBorder="1" applyAlignment="1">
      <alignment horizontal="left"/>
    </xf>
    <xf numFmtId="164" fontId="0" fillId="0" borderId="0" xfId="0" applyNumberFormat="1" applyBorder="1" applyAlignment="1">
      <alignment horizontal="left"/>
    </xf>
    <xf numFmtId="164" fontId="0" fillId="0" borderId="16" xfId="0" applyNumberFormat="1" applyBorder="1" applyAlignment="1">
      <alignment horizontal="left"/>
    </xf>
    <xf numFmtId="0" fontId="0" fillId="0" borderId="0" xfId="0" applyBorder="1" applyAlignment="1">
      <alignment horizontal="left"/>
    </xf>
    <xf numFmtId="164" fontId="5" fillId="0" borderId="0" xfId="0" applyNumberFormat="1" applyFont="1" applyFill="1" applyBorder="1" applyAlignment="1">
      <alignment horizontal="right" vertical="center" wrapText="1"/>
    </xf>
    <xf numFmtId="0" fontId="5" fillId="0" borderId="0" xfId="0" applyFont="1" applyFill="1" applyBorder="1" applyAlignment="1">
      <alignment horizontal="right" vertical="center" wrapText="1"/>
    </xf>
    <xf numFmtId="0" fontId="5" fillId="0" borderId="0" xfId="0" applyFont="1" applyFill="1" applyBorder="1" applyAlignment="1">
      <alignment horizontal="right" vertical="center"/>
    </xf>
    <xf numFmtId="164" fontId="5" fillId="0" borderId="0" xfId="0" applyNumberFormat="1" applyFont="1" applyFill="1" applyBorder="1" applyAlignment="1">
      <alignment horizontal="right" vertical="top"/>
    </xf>
    <xf numFmtId="164" fontId="16" fillId="5" borderId="0" xfId="0" applyNumberFormat="1" applyFont="1" applyFill="1" applyBorder="1" applyAlignment="1">
      <alignment horizontal="right"/>
    </xf>
    <xf numFmtId="164" fontId="16" fillId="5" borderId="16" xfId="0" applyNumberFormat="1" applyFont="1" applyFill="1" applyBorder="1" applyAlignment="1">
      <alignment horizontal="right"/>
    </xf>
    <xf numFmtId="41" fontId="5" fillId="3" borderId="0" xfId="0" applyNumberFormat="1" applyFont="1" applyFill="1" applyBorder="1"/>
    <xf numFmtId="1" fontId="5" fillId="3" borderId="0" xfId="73" applyNumberFormat="1" applyFont="1" applyFill="1" applyBorder="1"/>
    <xf numFmtId="165" fontId="5" fillId="0" borderId="0" xfId="0" applyNumberFormat="1" applyFont="1" applyFill="1" applyBorder="1"/>
    <xf numFmtId="0" fontId="7" fillId="0" borderId="0" xfId="0" applyFont="1" applyFill="1" applyBorder="1" applyAlignment="1">
      <alignment horizontal="left"/>
    </xf>
    <xf numFmtId="164" fontId="0" fillId="0" borderId="0" xfId="73" applyNumberFormat="1" applyFont="1" applyBorder="1" applyAlignment="1">
      <alignment horizontal="left"/>
    </xf>
    <xf numFmtId="165" fontId="0" fillId="0" borderId="0" xfId="73" applyNumberFormat="1" applyFont="1" applyBorder="1" applyAlignment="1">
      <alignment horizontal="left"/>
    </xf>
    <xf numFmtId="0" fontId="12" fillId="0" borderId="12" xfId="0" applyFont="1" applyFill="1" applyBorder="1" applyAlignment="1">
      <alignment horizontal="left"/>
    </xf>
    <xf numFmtId="0" fontId="0" fillId="0" borderId="13" xfId="0" applyBorder="1"/>
    <xf numFmtId="0" fontId="0" fillId="0" borderId="14" xfId="0" applyBorder="1"/>
    <xf numFmtId="0" fontId="0" fillId="0" borderId="9" xfId="0" applyBorder="1"/>
    <xf numFmtId="0" fontId="12" fillId="0" borderId="10" xfId="0" applyFont="1" applyBorder="1"/>
    <xf numFmtId="0" fontId="0" fillId="0" borderId="10" xfId="0" applyBorder="1"/>
    <xf numFmtId="0" fontId="0" fillId="0" borderId="11" xfId="0" applyBorder="1"/>
    <xf numFmtId="0" fontId="0" fillId="0" borderId="9" xfId="0" applyBorder="1" applyAlignment="1">
      <alignment wrapText="1"/>
    </xf>
    <xf numFmtId="0" fontId="12" fillId="0" borderId="10" xfId="0" applyFont="1" applyBorder="1" applyAlignment="1">
      <alignment wrapText="1"/>
    </xf>
    <xf numFmtId="0" fontId="0" fillId="0" borderId="10" xfId="0" applyBorder="1" applyAlignment="1">
      <alignment wrapText="1"/>
    </xf>
    <xf numFmtId="0" fontId="0" fillId="0" borderId="11" xfId="0" applyBorder="1" applyAlignment="1">
      <alignment wrapText="1"/>
    </xf>
    <xf numFmtId="0" fontId="12" fillId="0" borderId="15" xfId="0" applyFont="1" applyBorder="1" applyAlignment="1">
      <alignment horizontal="left" wrapText="1"/>
    </xf>
    <xf numFmtId="164" fontId="0" fillId="0" borderId="0" xfId="0" applyNumberFormat="1" applyBorder="1" applyAlignment="1">
      <alignment horizontal="left" wrapText="1"/>
    </xf>
    <xf numFmtId="164" fontId="0" fillId="0" borderId="16" xfId="0" applyNumberFormat="1" applyBorder="1" applyAlignment="1">
      <alignment horizontal="left" wrapText="1"/>
    </xf>
    <xf numFmtId="164" fontId="0" fillId="0" borderId="0" xfId="73" applyNumberFormat="1" applyFont="1" applyBorder="1" applyAlignment="1">
      <alignment horizontal="left" wrapText="1"/>
    </xf>
    <xf numFmtId="165" fontId="0" fillId="0" borderId="0" xfId="73" applyNumberFormat="1" applyFont="1" applyBorder="1" applyAlignment="1">
      <alignment horizontal="left" wrapText="1"/>
    </xf>
    <xf numFmtId="0" fontId="0" fillId="0" borderId="0" xfId="0" applyBorder="1" applyAlignment="1">
      <alignment horizontal="left" wrapText="1"/>
    </xf>
    <xf numFmtId="0" fontId="12" fillId="0" borderId="15" xfId="0" applyFont="1" applyFill="1" applyBorder="1" applyAlignment="1">
      <alignment horizontal="left" wrapText="1"/>
    </xf>
    <xf numFmtId="0" fontId="0" fillId="0" borderId="0" xfId="0" applyBorder="1" applyAlignment="1">
      <alignment wrapText="1"/>
    </xf>
    <xf numFmtId="164" fontId="0" fillId="0" borderId="16" xfId="0" applyNumberFormat="1" applyBorder="1" applyAlignment="1">
      <alignment wrapText="1"/>
    </xf>
    <xf numFmtId="0" fontId="12" fillId="0" borderId="12" xfId="0" applyFont="1" applyBorder="1" applyAlignment="1">
      <alignment wrapText="1"/>
    </xf>
    <xf numFmtId="0" fontId="0" fillId="0" borderId="13" xfId="0" applyBorder="1" applyAlignment="1">
      <alignment wrapText="1"/>
    </xf>
    <xf numFmtId="0" fontId="0" fillId="0" borderId="14" xfId="0" applyBorder="1" applyAlignment="1">
      <alignment wrapText="1"/>
    </xf>
    <xf numFmtId="165" fontId="5" fillId="0" borderId="0" xfId="73" applyNumberFormat="1" applyFont="1" applyFill="1" applyBorder="1"/>
    <xf numFmtId="3" fontId="5" fillId="0" borderId="10" xfId="0" applyNumberFormat="1" applyFont="1" applyFill="1" applyBorder="1"/>
    <xf numFmtId="3" fontId="5" fillId="0" borderId="11" xfId="0" applyNumberFormat="1" applyFont="1" applyFill="1" applyBorder="1"/>
    <xf numFmtId="3" fontId="5" fillId="0" borderId="13" xfId="0" applyNumberFormat="1" applyFont="1" applyFill="1" applyBorder="1"/>
    <xf numFmtId="3" fontId="5" fillId="0" borderId="14" xfId="0" applyNumberFormat="1" applyFont="1" applyFill="1" applyBorder="1"/>
    <xf numFmtId="0" fontId="17" fillId="2" borderId="0" xfId="0" applyFont="1" applyFill="1"/>
    <xf numFmtId="0" fontId="17" fillId="8" borderId="0" xfId="0" applyFont="1" applyFill="1"/>
    <xf numFmtId="0" fontId="17" fillId="10" borderId="0" xfId="0" applyFont="1" applyFill="1"/>
    <xf numFmtId="1" fontId="12" fillId="4" borderId="0" xfId="0" applyNumberFormat="1" applyFont="1" applyFill="1"/>
    <xf numFmtId="1" fontId="0" fillId="4" borderId="0" xfId="0" applyNumberFormat="1" applyFill="1"/>
    <xf numFmtId="1" fontId="0" fillId="0" borderId="0" xfId="0" applyNumberFormat="1" applyFill="1" applyBorder="1"/>
    <xf numFmtId="1" fontId="0" fillId="0" borderId="0" xfId="0" applyNumberFormat="1" applyFill="1"/>
    <xf numFmtId="1" fontId="15" fillId="4" borderId="0" xfId="0" applyNumberFormat="1" applyFont="1" applyFill="1"/>
    <xf numFmtId="164" fontId="5" fillId="0" borderId="0" xfId="73" applyNumberFormat="1" applyFont="1" applyFill="1" applyBorder="1" applyAlignment="1">
      <alignment horizontal="right"/>
    </xf>
    <xf numFmtId="0" fontId="8" fillId="0" borderId="9" xfId="1" applyFont="1" applyFill="1" applyBorder="1" applyAlignment="1">
      <alignment horizontal="left"/>
    </xf>
    <xf numFmtId="0" fontId="6" fillId="0" borderId="10" xfId="1" applyFont="1" applyFill="1" applyBorder="1" applyAlignment="1">
      <alignment horizontal="left"/>
    </xf>
    <xf numFmtId="0" fontId="7" fillId="0" borderId="19" xfId="0" applyFont="1" applyFill="1" applyBorder="1" applyAlignment="1">
      <alignment horizontal="left"/>
    </xf>
    <xf numFmtId="0" fontId="8" fillId="0" borderId="15" xfId="1" applyFont="1" applyFill="1" applyBorder="1" applyAlignment="1">
      <alignment horizontal="left"/>
    </xf>
    <xf numFmtId="0" fontId="6" fillId="0" borderId="12" xfId="1" applyFont="1" applyFill="1" applyBorder="1" applyAlignment="1">
      <alignment horizontal="left"/>
    </xf>
    <xf numFmtId="5" fontId="8" fillId="0" borderId="13" xfId="2" applyNumberFormat="1" applyFont="1" applyFill="1" applyBorder="1" applyAlignment="1" applyProtection="1">
      <alignment horizontal="right"/>
    </xf>
    <xf numFmtId="166" fontId="5" fillId="0" borderId="20" xfId="0" applyNumberFormat="1" applyFont="1" applyFill="1" applyBorder="1"/>
    <xf numFmtId="164" fontId="5" fillId="0" borderId="16" xfId="0" applyNumberFormat="1" applyFont="1" applyFill="1" applyBorder="1" applyAlignment="1">
      <alignment horizontal="right" vertical="center" wrapText="1"/>
    </xf>
    <xf numFmtId="0" fontId="5" fillId="0" borderId="16" xfId="0" applyFont="1" applyFill="1" applyBorder="1" applyAlignment="1">
      <alignment horizontal="right" vertical="center" wrapText="1"/>
    </xf>
    <xf numFmtId="164" fontId="5" fillId="0" borderId="16" xfId="0" applyNumberFormat="1" applyFont="1" applyFill="1" applyBorder="1" applyAlignment="1">
      <alignment horizontal="right" vertical="top"/>
    </xf>
    <xf numFmtId="164" fontId="5" fillId="0" borderId="14" xfId="0" applyNumberFormat="1" applyFont="1" applyFill="1" applyBorder="1" applyAlignment="1">
      <alignment horizontal="right" vertical="top"/>
    </xf>
    <xf numFmtId="0" fontId="7" fillId="0" borderId="11" xfId="0" applyFont="1" applyFill="1" applyBorder="1" applyAlignment="1">
      <alignment horizontal="right" vertical="top" wrapText="1"/>
    </xf>
    <xf numFmtId="164" fontId="5" fillId="0" borderId="15" xfId="0" applyNumberFormat="1" applyFont="1" applyFill="1" applyBorder="1" applyAlignment="1">
      <alignment horizontal="right"/>
    </xf>
    <xf numFmtId="164" fontId="8" fillId="0" borderId="15" xfId="1" applyNumberFormat="1" applyFont="1" applyFill="1" applyBorder="1" applyAlignment="1">
      <alignment horizontal="right"/>
    </xf>
    <xf numFmtId="164" fontId="8" fillId="0" borderId="12" xfId="1" applyNumberFormat="1" applyFont="1" applyFill="1" applyBorder="1" applyAlignment="1">
      <alignment horizontal="right"/>
    </xf>
    <xf numFmtId="0" fontId="8" fillId="0" borderId="9" xfId="1" applyFont="1" applyFill="1" applyBorder="1" applyAlignment="1">
      <alignment horizontal="right"/>
    </xf>
    <xf numFmtId="0" fontId="6" fillId="0" borderId="10" xfId="1" applyFont="1" applyFill="1" applyBorder="1" applyAlignment="1">
      <alignment horizontal="right"/>
    </xf>
    <xf numFmtId="0" fontId="7" fillId="0" borderId="19" xfId="0" applyFont="1" applyFill="1" applyBorder="1" applyAlignment="1">
      <alignment horizontal="right"/>
    </xf>
    <xf numFmtId="0" fontId="7" fillId="0" borderId="11" xfId="0" applyFont="1" applyFill="1" applyBorder="1" applyAlignment="1">
      <alignment horizontal="right" wrapText="1"/>
    </xf>
    <xf numFmtId="0" fontId="8" fillId="0" borderId="15" xfId="1" applyFont="1" applyFill="1" applyBorder="1" applyAlignment="1">
      <alignment horizontal="right"/>
    </xf>
    <xf numFmtId="1" fontId="5" fillId="0" borderId="16" xfId="0" applyNumberFormat="1" applyFont="1" applyFill="1" applyBorder="1" applyAlignment="1">
      <alignment horizontal="right" wrapText="1"/>
    </xf>
    <xf numFmtId="0" fontId="6" fillId="0" borderId="12" xfId="1" applyFont="1" applyFill="1" applyBorder="1" applyAlignment="1">
      <alignment horizontal="right"/>
    </xf>
    <xf numFmtId="166" fontId="5" fillId="0" borderId="20" xfId="0" applyNumberFormat="1" applyFont="1" applyFill="1" applyBorder="1" applyAlignment="1">
      <alignment horizontal="right"/>
    </xf>
    <xf numFmtId="1" fontId="5" fillId="0" borderId="14" xfId="0" applyNumberFormat="1" applyFont="1" applyFill="1" applyBorder="1" applyAlignment="1">
      <alignment horizontal="right" wrapText="1"/>
    </xf>
    <xf numFmtId="164" fontId="7" fillId="0" borderId="16" xfId="0" applyNumberFormat="1" applyFont="1" applyFill="1" applyBorder="1"/>
    <xf numFmtId="8" fontId="8" fillId="0" borderId="15" xfId="0" applyNumberFormat="1" applyFont="1" applyFill="1" applyBorder="1"/>
    <xf numFmtId="0" fontId="7" fillId="0" borderId="16" xfId="0" applyFont="1" applyFill="1" applyBorder="1"/>
    <xf numFmtId="42" fontId="7" fillId="0" borderId="16" xfId="0" applyNumberFormat="1" applyFont="1" applyFill="1" applyBorder="1"/>
    <xf numFmtId="0" fontId="7" fillId="0" borderId="11" xfId="0" applyFont="1" applyFill="1" applyBorder="1" applyAlignment="1">
      <alignment horizontal="left"/>
    </xf>
    <xf numFmtId="1" fontId="5" fillId="0" borderId="16" xfId="0" applyNumberFormat="1" applyFont="1" applyFill="1" applyBorder="1"/>
    <xf numFmtId="1" fontId="5" fillId="0" borderId="14" xfId="0" applyNumberFormat="1" applyFont="1" applyFill="1" applyBorder="1"/>
    <xf numFmtId="0" fontId="12" fillId="0" borderId="0" xfId="0" applyFont="1" applyBorder="1" applyAlignment="1"/>
    <xf numFmtId="0" fontId="12" fillId="0" borderId="16" xfId="0" applyFont="1" applyBorder="1" applyAlignment="1">
      <alignment wrapText="1"/>
    </xf>
    <xf numFmtId="0" fontId="0" fillId="0" borderId="0" xfId="0" applyAlignment="1"/>
    <xf numFmtId="0" fontId="12" fillId="0" borderId="0" xfId="0" applyFont="1" applyBorder="1" applyAlignment="1">
      <alignment wrapText="1"/>
    </xf>
    <xf numFmtId="0" fontId="12" fillId="0" borderId="15" xfId="0" applyFont="1" applyBorder="1" applyAlignment="1"/>
    <xf numFmtId="0" fontId="12" fillId="0" borderId="15" xfId="0" applyFont="1" applyBorder="1" applyAlignment="1">
      <alignment wrapText="1"/>
    </xf>
    <xf numFmtId="164" fontId="7" fillId="0" borderId="0" xfId="0" applyNumberFormat="1" applyFont="1" applyFill="1" applyBorder="1" applyAlignment="1"/>
    <xf numFmtId="0" fontId="5" fillId="0" borderId="0" xfId="0" applyFont="1" applyFill="1" applyBorder="1" applyAlignment="1">
      <alignment horizontal="left"/>
    </xf>
    <xf numFmtId="165" fontId="5" fillId="0" borderId="0" xfId="0" applyNumberFormat="1" applyFont="1" applyFill="1" applyBorder="1" applyAlignment="1">
      <alignment horizontal="right"/>
    </xf>
    <xf numFmtId="0" fontId="7" fillId="0" borderId="15" xfId="0" applyFont="1" applyFill="1" applyBorder="1" applyAlignment="1">
      <alignment horizontal="right"/>
    </xf>
    <xf numFmtId="0" fontId="7" fillId="0" borderId="0" xfId="0" applyFont="1" applyFill="1" applyBorder="1" applyAlignment="1">
      <alignment horizontal="right"/>
    </xf>
    <xf numFmtId="0" fontId="7" fillId="0" borderId="16" xfId="0" applyFont="1" applyFill="1" applyBorder="1" applyAlignment="1">
      <alignment horizontal="right"/>
    </xf>
    <xf numFmtId="0" fontId="7" fillId="0" borderId="0" xfId="0" applyFont="1" applyFill="1" applyBorder="1" applyAlignment="1">
      <alignment horizontal="right" wrapText="1"/>
    </xf>
    <xf numFmtId="164" fontId="7" fillId="0" borderId="9" xfId="0" applyNumberFormat="1" applyFont="1" applyFill="1" applyBorder="1" applyAlignment="1">
      <alignment horizontal="right"/>
    </xf>
    <xf numFmtId="164" fontId="7" fillId="0" borderId="10" xfId="0" applyNumberFormat="1" applyFont="1" applyFill="1" applyBorder="1" applyAlignment="1">
      <alignment horizontal="right"/>
    </xf>
    <xf numFmtId="164" fontId="7" fillId="0" borderId="11" xfId="0" applyNumberFormat="1" applyFont="1" applyFill="1" applyBorder="1" applyAlignment="1">
      <alignment horizontal="right"/>
    </xf>
    <xf numFmtId="164" fontId="5" fillId="0" borderId="12" xfId="0" applyNumberFormat="1" applyFont="1" applyFill="1" applyBorder="1" applyAlignment="1">
      <alignment horizontal="right"/>
    </xf>
    <xf numFmtId="164" fontId="5" fillId="0" borderId="13" xfId="0" applyNumberFormat="1" applyFont="1" applyFill="1" applyBorder="1" applyAlignment="1">
      <alignment horizontal="right"/>
    </xf>
    <xf numFmtId="164" fontId="5" fillId="0" borderId="14" xfId="0" applyNumberFormat="1" applyFont="1" applyFill="1" applyBorder="1" applyAlignment="1">
      <alignment horizontal="right"/>
    </xf>
    <xf numFmtId="0" fontId="7" fillId="0" borderId="9" xfId="0" applyFont="1" applyFill="1" applyBorder="1" applyAlignment="1">
      <alignment horizontal="right"/>
    </xf>
    <xf numFmtId="0" fontId="7" fillId="0" borderId="10" xfId="0" applyFont="1" applyFill="1" applyBorder="1" applyAlignment="1">
      <alignment horizontal="right"/>
    </xf>
    <xf numFmtId="0" fontId="7" fillId="0" borderId="11" xfId="0" applyFont="1" applyFill="1" applyBorder="1" applyAlignment="1">
      <alignment horizontal="right"/>
    </xf>
    <xf numFmtId="164" fontId="11" fillId="0" borderId="0" xfId="0" applyNumberFormat="1" applyFont="1" applyFill="1" applyBorder="1" applyAlignment="1">
      <alignment horizontal="right"/>
    </xf>
    <xf numFmtId="164" fontId="5" fillId="0" borderId="0" xfId="0" applyNumberFormat="1" applyFont="1" applyFill="1" applyBorder="1" applyAlignment="1">
      <alignment horizontal="right"/>
    </xf>
    <xf numFmtId="164" fontId="5" fillId="0" borderId="15" xfId="0" applyNumberFormat="1" applyFont="1" applyFill="1" applyBorder="1" applyAlignment="1">
      <alignment horizontal="right"/>
    </xf>
    <xf numFmtId="164" fontId="5" fillId="0" borderId="16" xfId="0" applyNumberFormat="1" applyFont="1" applyFill="1" applyBorder="1" applyAlignment="1">
      <alignment horizontal="right"/>
    </xf>
    <xf numFmtId="164" fontId="11" fillId="0" borderId="15" xfId="0" applyNumberFormat="1" applyFont="1" applyFill="1" applyBorder="1" applyAlignment="1">
      <alignment horizontal="right"/>
    </xf>
    <xf numFmtId="164" fontId="11" fillId="0" borderId="16" xfId="0" applyNumberFormat="1" applyFont="1" applyFill="1" applyBorder="1" applyAlignment="1">
      <alignment horizontal="right"/>
    </xf>
  </cellXfs>
  <cellStyles count="75">
    <cellStyle name="Comma 2" xfId="3"/>
    <cellStyle name="Currency" xfId="73" builtinId="4"/>
    <cellStyle name="Currency 2" xfId="2"/>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Hyperlink" xfId="4" builtinId="8"/>
    <cellStyle name="Normal" xfId="0" builtinId="0"/>
    <cellStyle name="Normal 2" xfId="1"/>
    <cellStyle name="Percent" xfId="74" builtinId="5"/>
  </cellStyles>
  <dxfs count="0"/>
  <tableStyles count="0" defaultTableStyle="TableStyleMedium9" defaultPivotStyle="PivotStyleMedium4"/>
  <colors>
    <mruColors>
      <color rgb="FFE05ED1"/>
      <color rgb="FF66CCFF"/>
      <color rgb="FFFFCC66"/>
      <color rgb="FFF9FB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eath_000\Desktop\HumphreyFeliciaLoanInventory.xlsx.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ummary"/>
      <sheetName val="Detail"/>
    </sheetNames>
    <sheetDataSet>
      <sheetData sheetId="0">
        <row r="53">
          <cell r="A53" t="str">
            <v>Loan Type</v>
          </cell>
          <cell r="B53" t="str">
            <v>DIRECT PLUS GRADUATE</v>
          </cell>
        </row>
        <row r="54">
          <cell r="A54" t="str">
            <v>Loan Award ID</v>
          </cell>
          <cell r="B54" t="str">
            <v>*****9785P11G22444002</v>
          </cell>
        </row>
        <row r="55">
          <cell r="A55" t="str">
            <v>Loan Attending School Name</v>
          </cell>
          <cell r="B55" t="str">
            <v>AMERICAN UNIVERSITY OF THE CARIBBEAN</v>
          </cell>
        </row>
        <row r="56">
          <cell r="A56" t="str">
            <v>Loan Attending School OPEID</v>
          </cell>
          <cell r="B56">
            <v>2244400</v>
          </cell>
        </row>
        <row r="57">
          <cell r="A57" t="str">
            <v>Loan Date</v>
          </cell>
          <cell r="B57">
            <v>40539</v>
          </cell>
        </row>
        <row r="58">
          <cell r="A58" t="str">
            <v>Loan Repayment Begin Date</v>
          </cell>
          <cell r="B58">
            <v>40546</v>
          </cell>
        </row>
        <row r="59">
          <cell r="A59" t="str">
            <v>Loan Period Begin Date</v>
          </cell>
          <cell r="B59">
            <v>40546</v>
          </cell>
        </row>
        <row r="60">
          <cell r="A60" t="str">
            <v>Loan Period End Date</v>
          </cell>
          <cell r="B60">
            <v>40655</v>
          </cell>
        </row>
        <row r="61">
          <cell r="A61" t="str">
            <v>Loan Amount</v>
          </cell>
          <cell r="B61">
            <v>16500</v>
          </cell>
        </row>
        <row r="62">
          <cell r="A62" t="str">
            <v>Loan Disbursed Amount</v>
          </cell>
          <cell r="B62">
            <v>16500</v>
          </cell>
        </row>
        <row r="63">
          <cell r="A63" t="str">
            <v>Loan Canceled Amount</v>
          </cell>
          <cell r="B63">
            <v>0</v>
          </cell>
        </row>
        <row r="64">
          <cell r="A64" t="str">
            <v>Loan Canceled Date</v>
          </cell>
        </row>
        <row r="65">
          <cell r="A65" t="str">
            <v>Loan Outstanding Principal Balance</v>
          </cell>
          <cell r="B65">
            <v>16500</v>
          </cell>
        </row>
        <row r="66">
          <cell r="A66" t="str">
            <v>Loan Outstanding Principal Balance as of Date</v>
          </cell>
          <cell r="B66">
            <v>42310</v>
          </cell>
        </row>
        <row r="67">
          <cell r="A67" t="str">
            <v>Loan Outstanding Interest Balance</v>
          </cell>
          <cell r="B67">
            <v>6304</v>
          </cell>
        </row>
        <row r="68">
          <cell r="A68" t="str">
            <v>Loan Outstanding Interest Balance as of Date</v>
          </cell>
          <cell r="B68">
            <v>42310</v>
          </cell>
        </row>
        <row r="69">
          <cell r="A69" t="str">
            <v>Loan Interest Rate Type</v>
          </cell>
          <cell r="B69" t="str">
            <v>FIXED</v>
          </cell>
        </row>
        <row r="70">
          <cell r="A70" t="str">
            <v>Loan Interest Rate</v>
          </cell>
          <cell r="B70">
            <v>7.9000000000000001E-2</v>
          </cell>
        </row>
        <row r="71">
          <cell r="A71" t="str">
            <v>Loan Repayment Plan Begin Date</v>
          </cell>
          <cell r="B71">
            <v>41768</v>
          </cell>
        </row>
        <row r="72">
          <cell r="A72" t="str">
            <v>Loan Repayment Plan Scheduled Amount</v>
          </cell>
          <cell r="B72">
            <v>252</v>
          </cell>
        </row>
        <row r="73">
          <cell r="A73" t="str">
            <v>Loan Confirmed Subsidy Status</v>
          </cell>
        </row>
        <row r="74">
          <cell r="A74" t="str">
            <v>Loan Subsidized Usage in Years</v>
          </cell>
        </row>
        <row r="75">
          <cell r="A75" t="str">
            <v>Loan Reaffirmation Date</v>
          </cell>
        </row>
        <row r="76">
          <cell r="A76" t="str">
            <v>Loan Status</v>
          </cell>
          <cell r="B76" t="str">
            <v>DA</v>
          </cell>
        </row>
        <row r="77">
          <cell r="A77" t="str">
            <v>Loan Status Description</v>
          </cell>
          <cell r="B77" t="str">
            <v>DEFERRED</v>
          </cell>
        </row>
        <row r="78">
          <cell r="A78" t="str">
            <v>Loan Status Effective Date</v>
          </cell>
          <cell r="B78">
            <v>41821</v>
          </cell>
        </row>
        <row r="79">
          <cell r="A79" t="str">
            <v>Loan Status</v>
          </cell>
          <cell r="B79" t="str">
            <v>FB</v>
          </cell>
        </row>
        <row r="80">
          <cell r="A80" t="str">
            <v>Loan Status Description</v>
          </cell>
          <cell r="B80" t="str">
            <v>FORBEARANCE</v>
          </cell>
        </row>
        <row r="81">
          <cell r="A81" t="str">
            <v>Loan Status Effective Date</v>
          </cell>
          <cell r="B81">
            <v>41813</v>
          </cell>
        </row>
        <row r="82">
          <cell r="A82" t="str">
            <v>Loan Status</v>
          </cell>
          <cell r="B82" t="str">
            <v>FB</v>
          </cell>
        </row>
        <row r="83">
          <cell r="A83" t="str">
            <v>Loan Status Description</v>
          </cell>
          <cell r="B83" t="str">
            <v>FORBEARANCE</v>
          </cell>
        </row>
        <row r="84">
          <cell r="A84" t="str">
            <v>Loan Status Effective Date</v>
          </cell>
          <cell r="B84">
            <v>41543</v>
          </cell>
        </row>
        <row r="85">
          <cell r="A85" t="str">
            <v>Loan Status</v>
          </cell>
          <cell r="B85" t="str">
            <v>FB</v>
          </cell>
        </row>
        <row r="86">
          <cell r="A86" t="str">
            <v>Loan Status Description</v>
          </cell>
          <cell r="B86" t="str">
            <v>FORBEARANCE</v>
          </cell>
        </row>
        <row r="87">
          <cell r="A87" t="str">
            <v>Loan Status Effective Date</v>
          </cell>
          <cell r="B87">
            <v>41178</v>
          </cell>
        </row>
        <row r="88">
          <cell r="A88" t="str">
            <v>Loan Status</v>
          </cell>
          <cell r="B88" t="str">
            <v>FB</v>
          </cell>
        </row>
        <row r="89">
          <cell r="A89" t="str">
            <v>Loan Status Description</v>
          </cell>
          <cell r="B89" t="str">
            <v>FORBEARANCE</v>
          </cell>
        </row>
        <row r="90">
          <cell r="A90" t="str">
            <v>Loan Status Effective Date</v>
          </cell>
          <cell r="B90">
            <v>40812</v>
          </cell>
        </row>
        <row r="91">
          <cell r="A91" t="str">
            <v>Loan Status</v>
          </cell>
          <cell r="B91" t="str">
            <v>DA</v>
          </cell>
        </row>
        <row r="92">
          <cell r="A92" t="str">
            <v>Loan Status Description</v>
          </cell>
          <cell r="B92" t="str">
            <v>DEFERRED</v>
          </cell>
        </row>
        <row r="93">
          <cell r="A93" t="str">
            <v>Loan Status Effective Date</v>
          </cell>
          <cell r="B93">
            <v>40628</v>
          </cell>
        </row>
        <row r="94">
          <cell r="A94" t="str">
            <v>Loan Status</v>
          </cell>
          <cell r="B94" t="str">
            <v>DA</v>
          </cell>
        </row>
        <row r="95">
          <cell r="A95" t="str">
            <v>Loan Status Description</v>
          </cell>
          <cell r="B95" t="str">
            <v>DEFERRED</v>
          </cell>
        </row>
        <row r="96">
          <cell r="A96" t="str">
            <v>Loan Status Effective Date</v>
          </cell>
          <cell r="B96">
            <v>40539</v>
          </cell>
        </row>
        <row r="97">
          <cell r="A97" t="str">
            <v>Loan Disbursement Date</v>
          </cell>
          <cell r="B97">
            <v>40546</v>
          </cell>
        </row>
        <row r="98">
          <cell r="A98" t="str">
            <v>Loan Disbursement Amount</v>
          </cell>
          <cell r="B98">
            <v>8250</v>
          </cell>
        </row>
        <row r="99">
          <cell r="A99" t="str">
            <v>Loan Disbursement Date</v>
          </cell>
          <cell r="B99">
            <v>40539</v>
          </cell>
        </row>
        <row r="100">
          <cell r="A100" t="str">
            <v>Loan Disbursement Amount</v>
          </cell>
          <cell r="B100">
            <v>8250</v>
          </cell>
        </row>
        <row r="101">
          <cell r="A101" t="str">
            <v>Loan Contact Type</v>
          </cell>
          <cell r="B101" t="str">
            <v>Current ED Servicer</v>
          </cell>
        </row>
        <row r="102">
          <cell r="A102" t="str">
            <v>Loan Contact Name</v>
          </cell>
          <cell r="B102" t="str">
            <v>DEPT OF ED/NAVIENT</v>
          </cell>
        </row>
        <row r="103">
          <cell r="A103" t="str">
            <v>Loan Contact Street Address 1</v>
          </cell>
          <cell r="B103" t="str">
            <v>PO BOX 740351</v>
          </cell>
        </row>
        <row r="104">
          <cell r="A104" t="str">
            <v>Loan Contact Street Address 2</v>
          </cell>
        </row>
        <row r="105">
          <cell r="A105" t="str">
            <v>Loan Contact City</v>
          </cell>
          <cell r="B105" t="str">
            <v>ATLANTA</v>
          </cell>
        </row>
        <row r="106">
          <cell r="A106" t="str">
            <v>Loan Contact State Code</v>
          </cell>
          <cell r="B106" t="str">
            <v>GA</v>
          </cell>
        </row>
        <row r="107">
          <cell r="A107" t="str">
            <v>Loan Contact Zip Code</v>
          </cell>
          <cell r="B107">
            <v>30348</v>
          </cell>
        </row>
        <row r="108">
          <cell r="A108" t="str">
            <v>Loan Contact Phone Number</v>
          </cell>
          <cell r="B108" t="str">
            <v>800-722-1300</v>
          </cell>
        </row>
        <row r="109">
          <cell r="A109" t="str">
            <v>Loan Contact Phone Extension</v>
          </cell>
        </row>
        <row r="110">
          <cell r="A110" t="str">
            <v>Loan Contact Email Address</v>
          </cell>
        </row>
        <row r="111">
          <cell r="A111" t="str">
            <v>Loan Contact Web Site Address</v>
          </cell>
          <cell r="B111" t="str">
            <v>www.navient.com</v>
          </cell>
        </row>
        <row r="112">
          <cell r="A112" t="str">
            <v>Loan Type</v>
          </cell>
          <cell r="B112" t="str">
            <v>DIRECT PLUS GRADUATE</v>
          </cell>
        </row>
        <row r="113">
          <cell r="A113" t="str">
            <v>Loan Award ID</v>
          </cell>
          <cell r="B113" t="str">
            <v>*****9785P11G22444001</v>
          </cell>
        </row>
        <row r="114">
          <cell r="A114" t="str">
            <v>Loan Attending School Name</v>
          </cell>
          <cell r="B114" t="str">
            <v>AMERICAN UNIVERSITY OF THE CARIBBEAN</v>
          </cell>
        </row>
        <row r="115">
          <cell r="A115" t="str">
            <v>Loan Attending School OPEID</v>
          </cell>
          <cell r="B115">
            <v>2244400</v>
          </cell>
        </row>
        <row r="116">
          <cell r="A116" t="str">
            <v>Loan Date</v>
          </cell>
          <cell r="B116">
            <v>40413</v>
          </cell>
        </row>
        <row r="117">
          <cell r="A117" t="str">
            <v>Loan Repayment Begin Date</v>
          </cell>
          <cell r="B117">
            <v>40421</v>
          </cell>
        </row>
        <row r="118">
          <cell r="A118" t="str">
            <v>Loan Period Begin Date</v>
          </cell>
          <cell r="B118">
            <v>40421</v>
          </cell>
        </row>
        <row r="119">
          <cell r="A119" t="str">
            <v>Loan Period End Date</v>
          </cell>
          <cell r="B119">
            <v>40529</v>
          </cell>
        </row>
        <row r="120">
          <cell r="A120" t="str">
            <v>Loan Amount</v>
          </cell>
          <cell r="B120">
            <v>15300</v>
          </cell>
        </row>
        <row r="121">
          <cell r="A121" t="str">
            <v>Loan Disbursed Amount</v>
          </cell>
          <cell r="B121">
            <v>15300</v>
          </cell>
        </row>
        <row r="122">
          <cell r="A122" t="str">
            <v>Loan Canceled Amount</v>
          </cell>
          <cell r="B122">
            <v>0</v>
          </cell>
        </row>
        <row r="123">
          <cell r="A123" t="str">
            <v>Loan Canceled Date</v>
          </cell>
        </row>
        <row r="124">
          <cell r="A124" t="str">
            <v>Loan Outstanding Principal Balance</v>
          </cell>
          <cell r="B124">
            <v>15300</v>
          </cell>
        </row>
        <row r="125">
          <cell r="A125" t="str">
            <v>Loan Outstanding Principal Balance as of Date</v>
          </cell>
          <cell r="B125">
            <v>42310</v>
          </cell>
        </row>
        <row r="126">
          <cell r="A126" t="str">
            <v>Loan Outstanding Interest Balance</v>
          </cell>
          <cell r="B126">
            <v>6249</v>
          </cell>
        </row>
        <row r="127">
          <cell r="A127" t="str">
            <v>Loan Outstanding Interest Balance as of Date</v>
          </cell>
          <cell r="B127">
            <v>42310</v>
          </cell>
        </row>
        <row r="128">
          <cell r="A128" t="str">
            <v>Loan Interest Rate Type</v>
          </cell>
          <cell r="B128" t="str">
            <v>FIXED</v>
          </cell>
        </row>
        <row r="129">
          <cell r="A129" t="str">
            <v>Loan Interest Rate</v>
          </cell>
          <cell r="B129">
            <v>7.9000000000000001E-2</v>
          </cell>
        </row>
        <row r="130">
          <cell r="A130" t="str">
            <v>Loan Repayment Plan Begin Date</v>
          </cell>
          <cell r="B130">
            <v>41768</v>
          </cell>
        </row>
        <row r="131">
          <cell r="A131" t="str">
            <v>Loan Repayment Plan Scheduled Amount</v>
          </cell>
          <cell r="B131">
            <v>239</v>
          </cell>
        </row>
        <row r="132">
          <cell r="A132" t="str">
            <v>Loan Confirmed Subsidy Status</v>
          </cell>
        </row>
        <row r="133">
          <cell r="A133" t="str">
            <v>Loan Subsidized Usage in Years</v>
          </cell>
        </row>
        <row r="134">
          <cell r="A134" t="str">
            <v>Loan Reaffirmation Date</v>
          </cell>
        </row>
        <row r="135">
          <cell r="A135" t="str">
            <v>Loan Status</v>
          </cell>
          <cell r="B135" t="str">
            <v>DA</v>
          </cell>
        </row>
        <row r="136">
          <cell r="A136" t="str">
            <v>Loan Status Description</v>
          </cell>
          <cell r="B136" t="str">
            <v>DEFERRED</v>
          </cell>
        </row>
        <row r="137">
          <cell r="A137" t="str">
            <v>Loan Status Effective Date</v>
          </cell>
          <cell r="B137">
            <v>41821</v>
          </cell>
        </row>
        <row r="138">
          <cell r="A138" t="str">
            <v>Loan Status</v>
          </cell>
          <cell r="B138" t="str">
            <v>FB</v>
          </cell>
        </row>
        <row r="139">
          <cell r="A139" t="str">
            <v>Loan Status Description</v>
          </cell>
          <cell r="B139" t="str">
            <v>FORBEARANCE</v>
          </cell>
        </row>
        <row r="140">
          <cell r="A140" t="str">
            <v>Loan Status Effective Date</v>
          </cell>
          <cell r="B140">
            <v>41813</v>
          </cell>
        </row>
        <row r="141">
          <cell r="A141" t="str">
            <v>Loan Status</v>
          </cell>
          <cell r="B141" t="str">
            <v>FB</v>
          </cell>
        </row>
        <row r="142">
          <cell r="A142" t="str">
            <v>Loan Status Description</v>
          </cell>
          <cell r="B142" t="str">
            <v>FORBEARANCE</v>
          </cell>
        </row>
        <row r="143">
          <cell r="A143" t="str">
            <v>Loan Status Effective Date</v>
          </cell>
          <cell r="B143">
            <v>41543</v>
          </cell>
        </row>
        <row r="144">
          <cell r="A144" t="str">
            <v>Loan Status</v>
          </cell>
          <cell r="B144" t="str">
            <v>FB</v>
          </cell>
        </row>
        <row r="145">
          <cell r="A145" t="str">
            <v>Loan Status Description</v>
          </cell>
          <cell r="B145" t="str">
            <v>FORBEARANCE</v>
          </cell>
        </row>
        <row r="146">
          <cell r="A146" t="str">
            <v>Loan Status Effective Date</v>
          </cell>
          <cell r="B146">
            <v>41178</v>
          </cell>
        </row>
        <row r="147">
          <cell r="A147" t="str">
            <v>Loan Status</v>
          </cell>
          <cell r="B147" t="str">
            <v>FB</v>
          </cell>
        </row>
        <row r="148">
          <cell r="A148" t="str">
            <v>Loan Status Description</v>
          </cell>
          <cell r="B148" t="str">
            <v>FORBEARANCE</v>
          </cell>
        </row>
        <row r="149">
          <cell r="A149" t="str">
            <v>Loan Status Effective Date</v>
          </cell>
          <cell r="B149">
            <v>40812</v>
          </cell>
        </row>
        <row r="150">
          <cell r="A150" t="str">
            <v>Loan Status</v>
          </cell>
          <cell r="B150" t="str">
            <v>DA</v>
          </cell>
        </row>
        <row r="151">
          <cell r="A151" t="str">
            <v>Loan Status Description</v>
          </cell>
          <cell r="B151" t="str">
            <v>DEFERRED</v>
          </cell>
        </row>
        <row r="152">
          <cell r="A152" t="str">
            <v>Loan Status Effective Date</v>
          </cell>
          <cell r="B152">
            <v>40628</v>
          </cell>
        </row>
        <row r="153">
          <cell r="A153" t="str">
            <v>Loan Status</v>
          </cell>
          <cell r="B153" t="str">
            <v>DA</v>
          </cell>
        </row>
        <row r="154">
          <cell r="A154" t="str">
            <v>Loan Status Description</v>
          </cell>
          <cell r="B154" t="str">
            <v>DEFERRED</v>
          </cell>
        </row>
        <row r="155">
          <cell r="A155" t="str">
            <v>Loan Status Effective Date</v>
          </cell>
          <cell r="B155">
            <v>40413</v>
          </cell>
        </row>
        <row r="156">
          <cell r="A156" t="str">
            <v>Loan Disbursement Date</v>
          </cell>
          <cell r="B156">
            <v>40421</v>
          </cell>
        </row>
        <row r="157">
          <cell r="A157" t="str">
            <v>Loan Disbursement Amount</v>
          </cell>
          <cell r="B157">
            <v>7650</v>
          </cell>
        </row>
        <row r="158">
          <cell r="A158" t="str">
            <v>Loan Disbursement Date</v>
          </cell>
          <cell r="B158">
            <v>40413</v>
          </cell>
        </row>
        <row r="159">
          <cell r="A159" t="str">
            <v>Loan Disbursement Amount</v>
          </cell>
          <cell r="B159">
            <v>7650</v>
          </cell>
        </row>
        <row r="160">
          <cell r="A160" t="str">
            <v>Loan Contact Type</v>
          </cell>
          <cell r="B160" t="str">
            <v>Current ED Servicer</v>
          </cell>
        </row>
        <row r="161">
          <cell r="A161" t="str">
            <v>Loan Contact Name</v>
          </cell>
          <cell r="B161" t="str">
            <v>DEPT OF ED/NAVIENT</v>
          </cell>
        </row>
        <row r="162">
          <cell r="A162" t="str">
            <v>Loan Contact Street Address 1</v>
          </cell>
          <cell r="B162" t="str">
            <v>PO BOX 740351</v>
          </cell>
        </row>
        <row r="163">
          <cell r="A163" t="str">
            <v>Loan Contact Street Address 2</v>
          </cell>
        </row>
        <row r="164">
          <cell r="A164" t="str">
            <v>Loan Contact City</v>
          </cell>
          <cell r="B164" t="str">
            <v>ATLANTA</v>
          </cell>
        </row>
        <row r="165">
          <cell r="A165" t="str">
            <v>Loan Contact State Code</v>
          </cell>
          <cell r="B165" t="str">
            <v>GA</v>
          </cell>
        </row>
        <row r="166">
          <cell r="A166" t="str">
            <v>Loan Contact Zip Code</v>
          </cell>
          <cell r="B166">
            <v>30348</v>
          </cell>
        </row>
        <row r="167">
          <cell r="A167" t="str">
            <v>Loan Contact Phone Number</v>
          </cell>
          <cell r="B167" t="str">
            <v>800-722-1300</v>
          </cell>
        </row>
        <row r="168">
          <cell r="A168" t="str">
            <v>Loan Contact Phone Extension</v>
          </cell>
        </row>
        <row r="169">
          <cell r="A169" t="str">
            <v>Loan Contact Email Address</v>
          </cell>
        </row>
        <row r="170">
          <cell r="A170" t="str">
            <v>Loan Contact Web Site Address</v>
          </cell>
          <cell r="B170" t="str">
            <v>www.navient.com</v>
          </cell>
        </row>
        <row r="171">
          <cell r="A171" t="str">
            <v>Loan Type</v>
          </cell>
          <cell r="B171" t="str">
            <v>DIRECT STAFFORD UNSUBSIDIZED</v>
          </cell>
        </row>
        <row r="172">
          <cell r="A172" t="str">
            <v>Loan Award ID</v>
          </cell>
          <cell r="B172" t="str">
            <v>*****9785U11G22444001</v>
          </cell>
        </row>
        <row r="173">
          <cell r="A173" t="str">
            <v>Loan Attending School Name</v>
          </cell>
          <cell r="B173" t="str">
            <v>AMERICAN UNIVERSITY OF THE CARIBBEAN</v>
          </cell>
        </row>
        <row r="174">
          <cell r="A174" t="str">
            <v>Loan Attending School OPEID</v>
          </cell>
          <cell r="B174">
            <v>2244400</v>
          </cell>
        </row>
        <row r="175">
          <cell r="A175" t="str">
            <v>Loan Date</v>
          </cell>
          <cell r="B175">
            <v>40413</v>
          </cell>
        </row>
        <row r="176">
          <cell r="A176" t="str">
            <v>Loan Repayment Begin Date</v>
          </cell>
          <cell r="B176">
            <v>40812</v>
          </cell>
        </row>
        <row r="177">
          <cell r="A177" t="str">
            <v>Loan Period Begin Date</v>
          </cell>
          <cell r="B177">
            <v>40421</v>
          </cell>
        </row>
        <row r="178">
          <cell r="A178" t="str">
            <v>Loan Period End Date</v>
          </cell>
          <cell r="B178">
            <v>40529</v>
          </cell>
        </row>
        <row r="179">
          <cell r="A179" t="str">
            <v>Loan Amount</v>
          </cell>
          <cell r="B179">
            <v>6000</v>
          </cell>
        </row>
        <row r="180">
          <cell r="A180" t="str">
            <v>Loan Disbursed Amount</v>
          </cell>
          <cell r="B180">
            <v>6000</v>
          </cell>
        </row>
        <row r="181">
          <cell r="A181" t="str">
            <v>Loan Canceled Amount</v>
          </cell>
          <cell r="B181">
            <v>0</v>
          </cell>
        </row>
        <row r="182">
          <cell r="A182" t="str">
            <v>Loan Canceled Date</v>
          </cell>
        </row>
        <row r="183">
          <cell r="A183" t="str">
            <v>Loan Outstanding Principal Balance</v>
          </cell>
          <cell r="B183">
            <v>6440</v>
          </cell>
        </row>
        <row r="184">
          <cell r="A184" t="str">
            <v>Loan Outstanding Principal Balance as of Date</v>
          </cell>
          <cell r="B184">
            <v>42310</v>
          </cell>
        </row>
        <row r="185">
          <cell r="A185" t="str">
            <v>Loan Outstanding Interest Balance</v>
          </cell>
          <cell r="B185">
            <v>1794</v>
          </cell>
        </row>
        <row r="186">
          <cell r="A186" t="str">
            <v>Loan Outstanding Interest Balance as of Date</v>
          </cell>
          <cell r="B186">
            <v>42310</v>
          </cell>
        </row>
        <row r="187">
          <cell r="A187" t="str">
            <v>Loan Interest Rate Type</v>
          </cell>
          <cell r="B187" t="str">
            <v>FIXED</v>
          </cell>
        </row>
        <row r="188">
          <cell r="A188" t="str">
            <v>Loan Interest Rate</v>
          </cell>
          <cell r="B188">
            <v>6.8000000000000005E-2</v>
          </cell>
        </row>
        <row r="189">
          <cell r="A189" t="str">
            <v>Loan Repayment Plan Begin Date</v>
          </cell>
          <cell r="B189">
            <v>41768</v>
          </cell>
        </row>
        <row r="190">
          <cell r="A190" t="str">
            <v>Loan Repayment Plan Scheduled Amount</v>
          </cell>
          <cell r="B190">
            <v>87</v>
          </cell>
        </row>
        <row r="191">
          <cell r="A191" t="str">
            <v>Loan Confirmed Subsidy Status</v>
          </cell>
        </row>
        <row r="192">
          <cell r="A192" t="str">
            <v>Loan Subsidized Usage in Years</v>
          </cell>
        </row>
        <row r="193">
          <cell r="A193" t="str">
            <v>Loan Reaffirmation Date</v>
          </cell>
        </row>
        <row r="194">
          <cell r="A194" t="str">
            <v>Loan Status</v>
          </cell>
          <cell r="B194" t="str">
            <v>DA</v>
          </cell>
        </row>
        <row r="195">
          <cell r="A195" t="str">
            <v>Loan Status Description</v>
          </cell>
          <cell r="B195" t="str">
            <v>DEFERRED</v>
          </cell>
        </row>
        <row r="196">
          <cell r="A196" t="str">
            <v>Loan Status Effective Date</v>
          </cell>
          <cell r="B196">
            <v>41821</v>
          </cell>
        </row>
        <row r="197">
          <cell r="A197" t="str">
            <v>Loan Status</v>
          </cell>
          <cell r="B197" t="str">
            <v>FB</v>
          </cell>
        </row>
        <row r="198">
          <cell r="A198" t="str">
            <v>Loan Status Description</v>
          </cell>
          <cell r="B198" t="str">
            <v>FORBEARANCE</v>
          </cell>
        </row>
        <row r="199">
          <cell r="A199" t="str">
            <v>Loan Status Effective Date</v>
          </cell>
          <cell r="B199">
            <v>41813</v>
          </cell>
        </row>
        <row r="200">
          <cell r="A200" t="str">
            <v>Loan Status</v>
          </cell>
          <cell r="B200" t="str">
            <v>FB</v>
          </cell>
        </row>
        <row r="201">
          <cell r="A201" t="str">
            <v>Loan Status Description</v>
          </cell>
          <cell r="B201" t="str">
            <v>FORBEARANCE</v>
          </cell>
        </row>
        <row r="202">
          <cell r="A202" t="str">
            <v>Loan Status Effective Date</v>
          </cell>
          <cell r="B202">
            <v>41543</v>
          </cell>
        </row>
        <row r="203">
          <cell r="A203" t="str">
            <v>Loan Status</v>
          </cell>
          <cell r="B203" t="str">
            <v>FB</v>
          </cell>
        </row>
        <row r="204">
          <cell r="A204" t="str">
            <v>Loan Status Description</v>
          </cell>
          <cell r="B204" t="str">
            <v>FORBEARANCE</v>
          </cell>
        </row>
        <row r="205">
          <cell r="A205" t="str">
            <v>Loan Status Effective Date</v>
          </cell>
          <cell r="B205">
            <v>41178</v>
          </cell>
        </row>
        <row r="206">
          <cell r="A206" t="str">
            <v>Loan Status</v>
          </cell>
          <cell r="B206" t="str">
            <v>FB</v>
          </cell>
        </row>
        <row r="207">
          <cell r="A207" t="str">
            <v>Loan Status Description</v>
          </cell>
          <cell r="B207" t="str">
            <v>FORBEARANCE</v>
          </cell>
        </row>
        <row r="208">
          <cell r="A208" t="str">
            <v>Loan Status Effective Date</v>
          </cell>
          <cell r="B208">
            <v>40812</v>
          </cell>
        </row>
        <row r="209">
          <cell r="A209" t="str">
            <v>Loan Status</v>
          </cell>
          <cell r="B209" t="str">
            <v>IG</v>
          </cell>
        </row>
        <row r="210">
          <cell r="A210" t="str">
            <v>Loan Status Description</v>
          </cell>
          <cell r="B210" t="str">
            <v>IN GRACE PERIOD</v>
          </cell>
        </row>
        <row r="211">
          <cell r="A211" t="str">
            <v>Loan Status Effective Date</v>
          </cell>
          <cell r="B211">
            <v>40628</v>
          </cell>
        </row>
        <row r="212">
          <cell r="A212" t="str">
            <v>Loan Status</v>
          </cell>
          <cell r="B212" t="str">
            <v>IA</v>
          </cell>
        </row>
        <row r="213">
          <cell r="A213" t="str">
            <v>Loan Status Description</v>
          </cell>
          <cell r="B213" t="str">
            <v>LOAN ORIGINATED</v>
          </cell>
        </row>
        <row r="214">
          <cell r="A214" t="str">
            <v>Loan Status Effective Date</v>
          </cell>
          <cell r="B214">
            <v>40413</v>
          </cell>
        </row>
        <row r="215">
          <cell r="A215" t="str">
            <v>Loan Disbursement Date</v>
          </cell>
          <cell r="B215">
            <v>40421</v>
          </cell>
        </row>
        <row r="216">
          <cell r="A216" t="str">
            <v>Loan Disbursement Amount</v>
          </cell>
          <cell r="B216">
            <v>3000</v>
          </cell>
        </row>
        <row r="217">
          <cell r="A217" t="str">
            <v>Loan Disbursement Date</v>
          </cell>
          <cell r="B217">
            <v>40413</v>
          </cell>
        </row>
        <row r="218">
          <cell r="A218" t="str">
            <v>Loan Disbursement Amount</v>
          </cell>
          <cell r="B218">
            <v>3000</v>
          </cell>
        </row>
        <row r="219">
          <cell r="A219" t="str">
            <v>Loan Contact Type</v>
          </cell>
          <cell r="B219" t="str">
            <v>Current ED Servicer</v>
          </cell>
        </row>
        <row r="220">
          <cell r="A220" t="str">
            <v>Loan Contact Name</v>
          </cell>
          <cell r="B220" t="str">
            <v>DEPT OF ED/NAVIENT</v>
          </cell>
        </row>
        <row r="221">
          <cell r="A221" t="str">
            <v>Loan Contact Street Address 1</v>
          </cell>
          <cell r="B221" t="str">
            <v>PO BOX 740351</v>
          </cell>
        </row>
        <row r="222">
          <cell r="A222" t="str">
            <v>Loan Contact Street Address 2</v>
          </cell>
        </row>
        <row r="223">
          <cell r="A223" t="str">
            <v>Loan Contact City</v>
          </cell>
          <cell r="B223" t="str">
            <v>ATLANTA</v>
          </cell>
        </row>
        <row r="224">
          <cell r="A224" t="str">
            <v>Loan Contact State Code</v>
          </cell>
          <cell r="B224" t="str">
            <v>GA</v>
          </cell>
        </row>
        <row r="225">
          <cell r="A225" t="str">
            <v>Loan Contact Zip Code</v>
          </cell>
          <cell r="B225">
            <v>30348</v>
          </cell>
        </row>
        <row r="226">
          <cell r="A226" t="str">
            <v>Loan Contact Phone Number</v>
          </cell>
          <cell r="B226" t="str">
            <v>800-722-1300</v>
          </cell>
        </row>
        <row r="227">
          <cell r="A227" t="str">
            <v>Loan Contact Phone Extension</v>
          </cell>
        </row>
        <row r="228">
          <cell r="A228" t="str">
            <v>Loan Contact Email Address</v>
          </cell>
        </row>
        <row r="229">
          <cell r="A229" t="str">
            <v>Loan Contact Web Site Address</v>
          </cell>
          <cell r="B229" t="str">
            <v>www.navient.com</v>
          </cell>
        </row>
        <row r="230">
          <cell r="A230" t="str">
            <v>Loan Type</v>
          </cell>
          <cell r="B230" t="str">
            <v>DIRECT STAFFORD SUBSIDIZED</v>
          </cell>
        </row>
        <row r="231">
          <cell r="A231" t="str">
            <v>Loan Award ID</v>
          </cell>
          <cell r="B231" t="str">
            <v>*****9785S11G22444001</v>
          </cell>
        </row>
        <row r="232">
          <cell r="A232" t="str">
            <v>Loan Attending School Name</v>
          </cell>
          <cell r="B232" t="str">
            <v>AMERICAN UNIVERSITY OF THE CARIBBEAN</v>
          </cell>
        </row>
        <row r="233">
          <cell r="A233" t="str">
            <v>Loan Attending School OPEID</v>
          </cell>
          <cell r="B233">
            <v>2244400</v>
          </cell>
        </row>
        <row r="234">
          <cell r="A234" t="str">
            <v>Loan Date</v>
          </cell>
          <cell r="B234">
            <v>40413</v>
          </cell>
        </row>
        <row r="235">
          <cell r="A235" t="str">
            <v>Loan Repayment Begin Date</v>
          </cell>
          <cell r="B235">
            <v>40812</v>
          </cell>
        </row>
        <row r="236">
          <cell r="A236" t="str">
            <v>Loan Period Begin Date</v>
          </cell>
          <cell r="B236">
            <v>40421</v>
          </cell>
        </row>
        <row r="237">
          <cell r="A237" t="str">
            <v>Loan Period End Date</v>
          </cell>
          <cell r="B237">
            <v>40529</v>
          </cell>
        </row>
        <row r="238">
          <cell r="A238" t="str">
            <v>Loan Amount</v>
          </cell>
          <cell r="B238">
            <v>4250</v>
          </cell>
        </row>
        <row r="239">
          <cell r="A239" t="str">
            <v>Loan Disbursed Amount</v>
          </cell>
          <cell r="B239">
            <v>4250</v>
          </cell>
        </row>
        <row r="240">
          <cell r="A240" t="str">
            <v>Loan Canceled Amount</v>
          </cell>
          <cell r="B240">
            <v>0</v>
          </cell>
        </row>
        <row r="241">
          <cell r="A241" t="str">
            <v>Loan Canceled Date</v>
          </cell>
        </row>
        <row r="242">
          <cell r="A242" t="str">
            <v>Loan Outstanding Principal Balance</v>
          </cell>
          <cell r="B242">
            <v>5048</v>
          </cell>
        </row>
        <row r="243">
          <cell r="A243" t="str">
            <v>Loan Outstanding Principal Balance as of Date</v>
          </cell>
          <cell r="B243">
            <v>42310</v>
          </cell>
        </row>
        <row r="244">
          <cell r="A244" t="str">
            <v>Loan Outstanding Interest Balance</v>
          </cell>
          <cell r="B244">
            <v>0</v>
          </cell>
        </row>
        <row r="245">
          <cell r="A245" t="str">
            <v>Loan Outstanding Interest Balance as of Date</v>
          </cell>
          <cell r="B245">
            <v>42310</v>
          </cell>
        </row>
        <row r="246">
          <cell r="A246" t="str">
            <v>Loan Interest Rate Type</v>
          </cell>
          <cell r="B246" t="str">
            <v>FIXED</v>
          </cell>
        </row>
        <row r="247">
          <cell r="A247" t="str">
            <v>Loan Interest Rate</v>
          </cell>
          <cell r="B247">
            <v>6.8000000000000005E-2</v>
          </cell>
        </row>
        <row r="248">
          <cell r="A248" t="str">
            <v>Loan Repayment Plan Begin Date</v>
          </cell>
          <cell r="B248">
            <v>41768</v>
          </cell>
        </row>
        <row r="249">
          <cell r="A249" t="str">
            <v>Loan Repayment Plan Scheduled Amount</v>
          </cell>
          <cell r="B249">
            <v>57</v>
          </cell>
        </row>
        <row r="250">
          <cell r="A250" t="str">
            <v>Loan Confirmed Subsidy Status</v>
          </cell>
        </row>
        <row r="251">
          <cell r="A251" t="str">
            <v>Loan Subsidized Usage in Years</v>
          </cell>
        </row>
        <row r="252">
          <cell r="A252" t="str">
            <v>Loan Reaffirmation Date</v>
          </cell>
        </row>
        <row r="253">
          <cell r="A253" t="str">
            <v>Loan Status</v>
          </cell>
          <cell r="B253" t="str">
            <v>DA</v>
          </cell>
        </row>
        <row r="254">
          <cell r="A254" t="str">
            <v>Loan Status Description</v>
          </cell>
          <cell r="B254" t="str">
            <v>DEFERRED</v>
          </cell>
        </row>
        <row r="255">
          <cell r="A255" t="str">
            <v>Loan Status Effective Date</v>
          </cell>
          <cell r="B255">
            <v>41821</v>
          </cell>
        </row>
        <row r="256">
          <cell r="A256" t="str">
            <v>Loan Status</v>
          </cell>
          <cell r="B256" t="str">
            <v>FB</v>
          </cell>
        </row>
        <row r="257">
          <cell r="A257" t="str">
            <v>Loan Status Description</v>
          </cell>
          <cell r="B257" t="str">
            <v>FORBEARANCE</v>
          </cell>
        </row>
        <row r="258">
          <cell r="A258" t="str">
            <v>Loan Status Effective Date</v>
          </cell>
          <cell r="B258">
            <v>41813</v>
          </cell>
        </row>
        <row r="259">
          <cell r="A259" t="str">
            <v>Loan Status</v>
          </cell>
          <cell r="B259" t="str">
            <v>FB</v>
          </cell>
        </row>
        <row r="260">
          <cell r="A260" t="str">
            <v>Loan Status Description</v>
          </cell>
          <cell r="B260" t="str">
            <v>FORBEARANCE</v>
          </cell>
        </row>
        <row r="261">
          <cell r="A261" t="str">
            <v>Loan Status Effective Date</v>
          </cell>
          <cell r="B261">
            <v>41543</v>
          </cell>
        </row>
        <row r="262">
          <cell r="A262" t="str">
            <v>Loan Status</v>
          </cell>
          <cell r="B262" t="str">
            <v>FB</v>
          </cell>
        </row>
        <row r="263">
          <cell r="A263" t="str">
            <v>Loan Status Description</v>
          </cell>
          <cell r="B263" t="str">
            <v>FORBEARANCE</v>
          </cell>
        </row>
        <row r="264">
          <cell r="A264" t="str">
            <v>Loan Status Effective Date</v>
          </cell>
          <cell r="B264">
            <v>41178</v>
          </cell>
        </row>
        <row r="265">
          <cell r="A265" t="str">
            <v>Loan Status</v>
          </cell>
          <cell r="B265" t="str">
            <v>FB</v>
          </cell>
        </row>
        <row r="266">
          <cell r="A266" t="str">
            <v>Loan Status Description</v>
          </cell>
          <cell r="B266" t="str">
            <v>FORBEARANCE</v>
          </cell>
        </row>
        <row r="267">
          <cell r="A267" t="str">
            <v>Loan Status Effective Date</v>
          </cell>
          <cell r="B267">
            <v>40812</v>
          </cell>
        </row>
        <row r="268">
          <cell r="A268" t="str">
            <v>Loan Status</v>
          </cell>
          <cell r="B268" t="str">
            <v>IG</v>
          </cell>
        </row>
        <row r="269">
          <cell r="A269" t="str">
            <v>Loan Status Description</v>
          </cell>
          <cell r="B269" t="str">
            <v>IN GRACE PERIOD</v>
          </cell>
        </row>
        <row r="270">
          <cell r="A270" t="str">
            <v>Loan Status Effective Date</v>
          </cell>
          <cell r="B270">
            <v>40628</v>
          </cell>
        </row>
        <row r="271">
          <cell r="A271" t="str">
            <v>Loan Status</v>
          </cell>
          <cell r="B271" t="str">
            <v>IA</v>
          </cell>
        </row>
        <row r="272">
          <cell r="A272" t="str">
            <v>Loan Status Description</v>
          </cell>
          <cell r="B272" t="str">
            <v>LOAN ORIGINATED</v>
          </cell>
        </row>
        <row r="273">
          <cell r="A273" t="str">
            <v>Loan Status Effective Date</v>
          </cell>
          <cell r="B273">
            <v>40413</v>
          </cell>
        </row>
        <row r="274">
          <cell r="A274" t="str">
            <v>Loan Disbursement Date</v>
          </cell>
          <cell r="B274">
            <v>40421</v>
          </cell>
        </row>
        <row r="275">
          <cell r="A275" t="str">
            <v>Loan Disbursement Amount</v>
          </cell>
          <cell r="B275">
            <v>2125</v>
          </cell>
        </row>
        <row r="276">
          <cell r="A276" t="str">
            <v>Loan Disbursement Date</v>
          </cell>
          <cell r="B276">
            <v>40413</v>
          </cell>
        </row>
        <row r="277">
          <cell r="A277" t="str">
            <v>Loan Disbursement Amount</v>
          </cell>
          <cell r="B277">
            <v>2125</v>
          </cell>
        </row>
        <row r="278">
          <cell r="A278" t="str">
            <v>Loan Contact Type</v>
          </cell>
          <cell r="B278" t="str">
            <v>Current ED Servicer</v>
          </cell>
        </row>
        <row r="279">
          <cell r="A279" t="str">
            <v>Loan Contact Name</v>
          </cell>
          <cell r="B279" t="str">
            <v>DEPT OF ED/NAVIENT</v>
          </cell>
        </row>
        <row r="280">
          <cell r="A280" t="str">
            <v>Loan Contact Street Address 1</v>
          </cell>
          <cell r="B280" t="str">
            <v>PO BOX 740351</v>
          </cell>
        </row>
        <row r="281">
          <cell r="A281" t="str">
            <v>Loan Contact Street Address 2</v>
          </cell>
        </row>
        <row r="282">
          <cell r="A282" t="str">
            <v>Loan Contact City</v>
          </cell>
          <cell r="B282" t="str">
            <v>ATLANTA</v>
          </cell>
        </row>
        <row r="283">
          <cell r="A283" t="str">
            <v>Loan Contact State Code</v>
          </cell>
          <cell r="B283" t="str">
            <v>GA</v>
          </cell>
        </row>
        <row r="284">
          <cell r="A284" t="str">
            <v>Loan Contact Zip Code</v>
          </cell>
          <cell r="B284">
            <v>30348</v>
          </cell>
        </row>
        <row r="285">
          <cell r="A285" t="str">
            <v>Loan Contact Phone Number</v>
          </cell>
          <cell r="B285" t="str">
            <v>800-722-1300</v>
          </cell>
        </row>
        <row r="286">
          <cell r="A286" t="str">
            <v>Loan Contact Phone Extension</v>
          </cell>
        </row>
        <row r="287">
          <cell r="A287" t="str">
            <v>Loan Contact Email Address</v>
          </cell>
        </row>
        <row r="288">
          <cell r="A288" t="str">
            <v>Loan Contact Web Site Address</v>
          </cell>
          <cell r="B288" t="str">
            <v>www.navient.com</v>
          </cell>
        </row>
        <row r="289">
          <cell r="A289" t="str">
            <v>Loan Type</v>
          </cell>
          <cell r="B289" t="str">
            <v>FFEL PLUS GRADUATE</v>
          </cell>
        </row>
        <row r="290">
          <cell r="A290" t="str">
            <v>Loan Award ID</v>
          </cell>
          <cell r="B290" t="str">
            <v>*****9785510022444002</v>
          </cell>
        </row>
        <row r="291">
          <cell r="A291" t="str">
            <v>Loan Attending School Name</v>
          </cell>
          <cell r="B291" t="str">
            <v>AMERICAN UNIVERSITY OF THE CARIBBEAN</v>
          </cell>
        </row>
        <row r="292">
          <cell r="A292" t="str">
            <v>Loan Attending School OPEID</v>
          </cell>
          <cell r="B292">
            <v>2244400</v>
          </cell>
        </row>
        <row r="293">
          <cell r="A293" t="str">
            <v>Loan Date</v>
          </cell>
          <cell r="B293">
            <v>40310</v>
          </cell>
        </row>
        <row r="294">
          <cell r="A294" t="str">
            <v>Loan Repayment Begin Date</v>
          </cell>
          <cell r="B294">
            <v>40312</v>
          </cell>
        </row>
        <row r="295">
          <cell r="A295" t="str">
            <v>Loan Period Begin Date</v>
          </cell>
          <cell r="B295">
            <v>40302</v>
          </cell>
        </row>
        <row r="296">
          <cell r="A296" t="str">
            <v>Loan Period End Date</v>
          </cell>
          <cell r="B296">
            <v>40410</v>
          </cell>
        </row>
        <row r="297">
          <cell r="A297" t="str">
            <v>Loan Amount</v>
          </cell>
          <cell r="B297">
            <v>22350</v>
          </cell>
        </row>
        <row r="298">
          <cell r="A298" t="str">
            <v>Loan Disbursed Amount</v>
          </cell>
          <cell r="B298">
            <v>22350</v>
          </cell>
        </row>
        <row r="299">
          <cell r="A299" t="str">
            <v>Loan Canceled Amount</v>
          </cell>
          <cell r="B299">
            <v>0</v>
          </cell>
        </row>
        <row r="300">
          <cell r="A300" t="str">
            <v>Loan Canceled Date</v>
          </cell>
        </row>
        <row r="301">
          <cell r="A301" t="str">
            <v>Loan Outstanding Principal Balance</v>
          </cell>
          <cell r="B301">
            <v>22350</v>
          </cell>
        </row>
        <row r="302">
          <cell r="A302" t="str">
            <v>Loan Outstanding Principal Balance as of Date</v>
          </cell>
          <cell r="B302">
            <v>42310</v>
          </cell>
        </row>
        <row r="303">
          <cell r="A303" t="str">
            <v>Loan Outstanding Interest Balance</v>
          </cell>
          <cell r="B303">
            <v>10386</v>
          </cell>
        </row>
        <row r="304">
          <cell r="A304" t="str">
            <v>Loan Outstanding Interest Balance as of Date</v>
          </cell>
          <cell r="B304">
            <v>42310</v>
          </cell>
        </row>
        <row r="305">
          <cell r="A305" t="str">
            <v>Loan Interest Rate Type</v>
          </cell>
          <cell r="B305" t="str">
            <v>FIXED</v>
          </cell>
        </row>
        <row r="306">
          <cell r="A306" t="str">
            <v>Loan Interest Rate</v>
          </cell>
          <cell r="B306">
            <v>8.5000000000000006E-2</v>
          </cell>
        </row>
        <row r="307">
          <cell r="A307" t="str">
            <v>Loan Repayment Plan Begin Date</v>
          </cell>
          <cell r="B307">
            <v>40945</v>
          </cell>
        </row>
        <row r="308">
          <cell r="A308" t="str">
            <v>Loan Repayment Plan Scheduled Amount</v>
          </cell>
          <cell r="B308">
            <v>372</v>
          </cell>
        </row>
        <row r="309">
          <cell r="A309" t="str">
            <v>Loan Confirmed Subsidy Status</v>
          </cell>
        </row>
        <row r="310">
          <cell r="A310" t="str">
            <v>Loan Subsidized Usage in Years</v>
          </cell>
        </row>
        <row r="311">
          <cell r="A311" t="str">
            <v>Loan Reaffirmation Date</v>
          </cell>
        </row>
        <row r="312">
          <cell r="A312" t="str">
            <v>Loan Status</v>
          </cell>
          <cell r="B312" t="str">
            <v>DA</v>
          </cell>
        </row>
        <row r="313">
          <cell r="A313" t="str">
            <v>Loan Status Description</v>
          </cell>
          <cell r="B313" t="str">
            <v>DEFERRED</v>
          </cell>
        </row>
        <row r="314">
          <cell r="A314" t="str">
            <v>Loan Status Effective Date</v>
          </cell>
          <cell r="B314">
            <v>41821</v>
          </cell>
        </row>
        <row r="315">
          <cell r="A315" t="str">
            <v>Loan Status</v>
          </cell>
          <cell r="B315" t="str">
            <v>RP</v>
          </cell>
        </row>
        <row r="316">
          <cell r="A316" t="str">
            <v>Loan Status Description</v>
          </cell>
          <cell r="B316" t="str">
            <v>IN REPAYMENT</v>
          </cell>
        </row>
        <row r="317">
          <cell r="A317" t="str">
            <v>Loan Status Effective Date</v>
          </cell>
          <cell r="B317">
            <v>41813</v>
          </cell>
        </row>
        <row r="318">
          <cell r="A318" t="str">
            <v>Loan Status</v>
          </cell>
          <cell r="B318" t="str">
            <v>FB</v>
          </cell>
        </row>
        <row r="319">
          <cell r="A319" t="str">
            <v>Loan Status Description</v>
          </cell>
          <cell r="B319" t="str">
            <v>FORBEARANCE</v>
          </cell>
        </row>
        <row r="320">
          <cell r="A320" t="str">
            <v>Loan Status Effective Date</v>
          </cell>
          <cell r="B320">
            <v>41543</v>
          </cell>
        </row>
        <row r="321">
          <cell r="A321" t="str">
            <v>Loan Status</v>
          </cell>
          <cell r="B321" t="str">
            <v>RP</v>
          </cell>
        </row>
        <row r="322">
          <cell r="A322" t="str">
            <v>Loan Status Description</v>
          </cell>
          <cell r="B322" t="str">
            <v>IN REPAYMENT</v>
          </cell>
        </row>
        <row r="323">
          <cell r="A323" t="str">
            <v>Loan Status Effective Date</v>
          </cell>
          <cell r="B323">
            <v>41150</v>
          </cell>
        </row>
        <row r="324">
          <cell r="A324" t="str">
            <v>Loan Status</v>
          </cell>
          <cell r="B324" t="str">
            <v>FB</v>
          </cell>
        </row>
        <row r="325">
          <cell r="A325" t="str">
            <v>Loan Status Description</v>
          </cell>
          <cell r="B325" t="str">
            <v>FORBEARANCE</v>
          </cell>
        </row>
        <row r="326">
          <cell r="A326" t="str">
            <v>Loan Status Effective Date</v>
          </cell>
          <cell r="B326">
            <v>40812</v>
          </cell>
        </row>
        <row r="327">
          <cell r="A327" t="str">
            <v>Loan Status</v>
          </cell>
          <cell r="B327" t="str">
            <v>DA</v>
          </cell>
        </row>
        <row r="328">
          <cell r="A328" t="str">
            <v>Loan Status Description</v>
          </cell>
          <cell r="B328" t="str">
            <v>DEFERRED</v>
          </cell>
        </row>
        <row r="329">
          <cell r="A329" t="str">
            <v>Loan Status Effective Date</v>
          </cell>
          <cell r="B329">
            <v>40628</v>
          </cell>
        </row>
        <row r="330">
          <cell r="A330" t="str">
            <v>Loan Status</v>
          </cell>
          <cell r="B330" t="str">
            <v>DA</v>
          </cell>
        </row>
        <row r="331">
          <cell r="A331" t="str">
            <v>Loan Status Description</v>
          </cell>
          <cell r="B331" t="str">
            <v>DEFERRED</v>
          </cell>
        </row>
        <row r="332">
          <cell r="A332" t="str">
            <v>Loan Status Effective Date</v>
          </cell>
          <cell r="B332">
            <v>40312</v>
          </cell>
        </row>
        <row r="333">
          <cell r="A333" t="str">
            <v>Loan Disbursement Date</v>
          </cell>
          <cell r="B333">
            <v>40312</v>
          </cell>
        </row>
        <row r="334">
          <cell r="A334" t="str">
            <v>Loan Disbursement Amount</v>
          </cell>
          <cell r="B334">
            <v>22350</v>
          </cell>
        </row>
        <row r="335">
          <cell r="A335" t="str">
            <v>Loan Contact Type</v>
          </cell>
          <cell r="B335" t="str">
            <v>Current Servicer</v>
          </cell>
        </row>
        <row r="336">
          <cell r="A336" t="str">
            <v>Loan Contact Name</v>
          </cell>
          <cell r="B336" t="str">
            <v>DEPT OF ED/NAVIENT</v>
          </cell>
        </row>
        <row r="337">
          <cell r="A337" t="str">
            <v>Loan Contact Street Address 1</v>
          </cell>
          <cell r="B337" t="str">
            <v>P.O. BOX 9635</v>
          </cell>
        </row>
        <row r="338">
          <cell r="A338" t="str">
            <v>Loan Contact Street Address 2</v>
          </cell>
        </row>
        <row r="339">
          <cell r="A339" t="str">
            <v>Loan Contact City</v>
          </cell>
          <cell r="B339" t="str">
            <v>WILKES-BARRE</v>
          </cell>
        </row>
        <row r="340">
          <cell r="A340" t="str">
            <v>Loan Contact State Code</v>
          </cell>
          <cell r="B340" t="str">
            <v>PA</v>
          </cell>
        </row>
        <row r="341">
          <cell r="A341" t="str">
            <v>Loan Contact Zip Code</v>
          </cell>
          <cell r="B341">
            <v>187739635</v>
          </cell>
        </row>
        <row r="342">
          <cell r="A342" t="str">
            <v>Loan Contact Phone Number</v>
          </cell>
          <cell r="B342" t="str">
            <v>800-722-1300</v>
          </cell>
        </row>
        <row r="343">
          <cell r="A343" t="str">
            <v>Loan Contact Phone Extension</v>
          </cell>
        </row>
        <row r="344">
          <cell r="A344" t="str">
            <v>Loan Contact Email Address</v>
          </cell>
        </row>
        <row r="345">
          <cell r="A345" t="str">
            <v>Loan Contact Web Site Address</v>
          </cell>
          <cell r="B345" t="str">
            <v>www.salliemae.com</v>
          </cell>
        </row>
        <row r="346">
          <cell r="A346" t="str">
            <v>Loan Contact Type</v>
          </cell>
          <cell r="B346" t="str">
            <v>Current Lender</v>
          </cell>
        </row>
        <row r="347">
          <cell r="A347" t="str">
            <v>Loan Contact Name</v>
          </cell>
          <cell r="B347" t="str">
            <v>U.S. DEPT OF EDUCATION/2009-2010 LPCP</v>
          </cell>
        </row>
        <row r="348">
          <cell r="A348" t="str">
            <v>Loan Contact Street Address 1</v>
          </cell>
          <cell r="B348" t="str">
            <v>830 FIRST ST. NE</v>
          </cell>
        </row>
        <row r="349">
          <cell r="A349" t="str">
            <v>Loan Contact Street Address 2</v>
          </cell>
        </row>
        <row r="350">
          <cell r="A350" t="str">
            <v>Loan Contact City</v>
          </cell>
          <cell r="B350" t="str">
            <v>WASHINGTON</v>
          </cell>
        </row>
        <row r="351">
          <cell r="A351" t="str">
            <v>Loan Contact State Code</v>
          </cell>
          <cell r="B351" t="str">
            <v>DC</v>
          </cell>
        </row>
        <row r="352">
          <cell r="A352" t="str">
            <v>Loan Contact Zip Code</v>
          </cell>
          <cell r="B352">
            <v>202020000</v>
          </cell>
        </row>
        <row r="353">
          <cell r="A353" t="str">
            <v>Loan Contact Phone Number</v>
          </cell>
        </row>
        <row r="354">
          <cell r="A354" t="str">
            <v>Loan Contact Phone Extension</v>
          </cell>
        </row>
        <row r="355">
          <cell r="A355" t="str">
            <v>Loan Contact Email Address</v>
          </cell>
        </row>
        <row r="356">
          <cell r="A356" t="str">
            <v>Loan Contact Web Site Address</v>
          </cell>
        </row>
        <row r="357">
          <cell r="A357" t="str">
            <v>Loan Contact Type</v>
          </cell>
          <cell r="B357" t="str">
            <v>Current ED Servicer</v>
          </cell>
        </row>
        <row r="358">
          <cell r="A358" t="str">
            <v>Loan Contact Name</v>
          </cell>
          <cell r="B358" t="str">
            <v>DEPT OF ED/NAVIENT</v>
          </cell>
        </row>
        <row r="359">
          <cell r="A359" t="str">
            <v>Loan Contact Street Address 1</v>
          </cell>
          <cell r="B359" t="str">
            <v>PO BOX 740351</v>
          </cell>
        </row>
        <row r="360">
          <cell r="A360" t="str">
            <v>Loan Contact Street Address 2</v>
          </cell>
        </row>
        <row r="361">
          <cell r="A361" t="str">
            <v>Loan Contact City</v>
          </cell>
          <cell r="B361" t="str">
            <v>ATLANTA</v>
          </cell>
        </row>
        <row r="362">
          <cell r="A362" t="str">
            <v>Loan Contact State Code</v>
          </cell>
          <cell r="B362" t="str">
            <v>GA</v>
          </cell>
        </row>
        <row r="363">
          <cell r="A363" t="str">
            <v>Loan Contact Zip Code</v>
          </cell>
          <cell r="B363">
            <v>30348</v>
          </cell>
        </row>
        <row r="364">
          <cell r="A364" t="str">
            <v>Loan Contact Phone Number</v>
          </cell>
          <cell r="B364" t="str">
            <v>800-722-1300</v>
          </cell>
        </row>
        <row r="365">
          <cell r="A365" t="str">
            <v>Loan Contact Phone Extension</v>
          </cell>
        </row>
        <row r="366">
          <cell r="A366" t="str">
            <v>Loan Contact Email Address</v>
          </cell>
        </row>
        <row r="367">
          <cell r="A367" t="str">
            <v>Loan Contact Web Site Address</v>
          </cell>
          <cell r="B367" t="str">
            <v>www.navient.com</v>
          </cell>
        </row>
        <row r="368">
          <cell r="A368" t="str">
            <v>Loan Type</v>
          </cell>
          <cell r="B368" t="str">
            <v>STAFFORD UNSUBSIDIZED</v>
          </cell>
        </row>
        <row r="369">
          <cell r="A369" t="str">
            <v>Loan Award ID</v>
          </cell>
          <cell r="B369" t="str">
            <v>*****9785210022444002</v>
          </cell>
        </row>
        <row r="370">
          <cell r="A370" t="str">
            <v>Loan Attending School Name</v>
          </cell>
          <cell r="B370" t="str">
            <v>AMERICAN UNIVERSITY OF THE CARIBBEAN</v>
          </cell>
        </row>
        <row r="371">
          <cell r="A371" t="str">
            <v>Loan Attending School OPEID</v>
          </cell>
          <cell r="B371">
            <v>2244400</v>
          </cell>
        </row>
        <row r="372">
          <cell r="A372" t="str">
            <v>Loan Date</v>
          </cell>
          <cell r="B372">
            <v>40310</v>
          </cell>
        </row>
        <row r="373">
          <cell r="A373" t="str">
            <v>Loan Repayment Begin Date</v>
          </cell>
          <cell r="B373">
            <v>40812</v>
          </cell>
        </row>
        <row r="374">
          <cell r="A374" t="str">
            <v>Loan Period Begin Date</v>
          </cell>
          <cell r="B374">
            <v>40302</v>
          </cell>
        </row>
        <row r="375">
          <cell r="A375" t="str">
            <v>Loan Period End Date</v>
          </cell>
          <cell r="B375">
            <v>40410</v>
          </cell>
        </row>
        <row r="376">
          <cell r="A376" t="str">
            <v>Loan Amount</v>
          </cell>
          <cell r="B376">
            <v>6000</v>
          </cell>
        </row>
        <row r="377">
          <cell r="A377" t="str">
            <v>Loan Disbursed Amount</v>
          </cell>
          <cell r="B377">
            <v>6000</v>
          </cell>
        </row>
        <row r="378">
          <cell r="A378" t="str">
            <v>Loan Canceled Amount</v>
          </cell>
          <cell r="B378">
            <v>0</v>
          </cell>
        </row>
        <row r="379">
          <cell r="A379" t="str">
            <v>Loan Canceled Date</v>
          </cell>
        </row>
        <row r="380">
          <cell r="A380" t="str">
            <v>Loan Outstanding Principal Balance</v>
          </cell>
          <cell r="B380">
            <v>6558</v>
          </cell>
        </row>
        <row r="381">
          <cell r="A381" t="str">
            <v>Loan Outstanding Principal Balance as of Date</v>
          </cell>
          <cell r="B381">
            <v>42310</v>
          </cell>
        </row>
        <row r="382">
          <cell r="A382" t="str">
            <v>Loan Outstanding Interest Balance</v>
          </cell>
          <cell r="B382">
            <v>1827</v>
          </cell>
        </row>
        <row r="383">
          <cell r="A383" t="str">
            <v>Loan Outstanding Interest Balance as of Date</v>
          </cell>
          <cell r="B383">
            <v>42310</v>
          </cell>
        </row>
        <row r="384">
          <cell r="A384" t="str">
            <v>Loan Interest Rate Type</v>
          </cell>
          <cell r="B384" t="str">
            <v>FIXED</v>
          </cell>
        </row>
        <row r="385">
          <cell r="A385" t="str">
            <v>Loan Interest Rate</v>
          </cell>
          <cell r="B385">
            <v>6.8000000000000005E-2</v>
          </cell>
        </row>
        <row r="386">
          <cell r="A386" t="str">
            <v>Loan Repayment Plan Begin Date</v>
          </cell>
          <cell r="B386">
            <v>40766</v>
          </cell>
        </row>
        <row r="387">
          <cell r="A387" t="str">
            <v>Loan Repayment Plan Scheduled Amount</v>
          </cell>
          <cell r="B387">
            <v>89</v>
          </cell>
        </row>
        <row r="388">
          <cell r="A388" t="str">
            <v>Loan Confirmed Subsidy Status</v>
          </cell>
        </row>
        <row r="389">
          <cell r="A389" t="str">
            <v>Loan Subsidized Usage in Years</v>
          </cell>
        </row>
        <row r="390">
          <cell r="A390" t="str">
            <v>Loan Reaffirmation Date</v>
          </cell>
        </row>
        <row r="391">
          <cell r="A391" t="str">
            <v>Loan Status</v>
          </cell>
          <cell r="B391" t="str">
            <v>DA</v>
          </cell>
        </row>
        <row r="392">
          <cell r="A392" t="str">
            <v>Loan Status Description</v>
          </cell>
          <cell r="B392" t="str">
            <v>DEFERRED</v>
          </cell>
        </row>
        <row r="393">
          <cell r="A393" t="str">
            <v>Loan Status Effective Date</v>
          </cell>
          <cell r="B393">
            <v>41821</v>
          </cell>
        </row>
        <row r="394">
          <cell r="A394" t="str">
            <v>Loan Status</v>
          </cell>
          <cell r="B394" t="str">
            <v>FB</v>
          </cell>
        </row>
        <row r="395">
          <cell r="A395" t="str">
            <v>Loan Status Description</v>
          </cell>
          <cell r="B395" t="str">
            <v>FORBEARANCE</v>
          </cell>
        </row>
        <row r="396">
          <cell r="A396" t="str">
            <v>Loan Status Effective Date</v>
          </cell>
          <cell r="B396">
            <v>41813</v>
          </cell>
        </row>
        <row r="397">
          <cell r="A397" t="str">
            <v>Loan Status</v>
          </cell>
          <cell r="B397" t="str">
            <v>FB</v>
          </cell>
        </row>
        <row r="398">
          <cell r="A398" t="str">
            <v>Loan Status Description</v>
          </cell>
          <cell r="B398" t="str">
            <v>FORBEARANCE</v>
          </cell>
        </row>
        <row r="399">
          <cell r="A399" t="str">
            <v>Loan Status Effective Date</v>
          </cell>
          <cell r="B399">
            <v>41543</v>
          </cell>
        </row>
        <row r="400">
          <cell r="A400" t="str">
            <v>Loan Status</v>
          </cell>
          <cell r="B400" t="str">
            <v>FB</v>
          </cell>
        </row>
        <row r="401">
          <cell r="A401" t="str">
            <v>Loan Status Description</v>
          </cell>
          <cell r="B401" t="str">
            <v>FORBEARANCE</v>
          </cell>
        </row>
        <row r="402">
          <cell r="A402" t="str">
            <v>Loan Status Effective Date</v>
          </cell>
          <cell r="B402">
            <v>41178</v>
          </cell>
        </row>
        <row r="403">
          <cell r="A403" t="str">
            <v>Loan Status</v>
          </cell>
          <cell r="B403" t="str">
            <v>FB</v>
          </cell>
        </row>
        <row r="404">
          <cell r="A404" t="str">
            <v>Loan Status Description</v>
          </cell>
          <cell r="B404" t="str">
            <v>FORBEARANCE</v>
          </cell>
        </row>
        <row r="405">
          <cell r="A405" t="str">
            <v>Loan Status Effective Date</v>
          </cell>
          <cell r="B405">
            <v>40812</v>
          </cell>
        </row>
        <row r="406">
          <cell r="A406" t="str">
            <v>Loan Status</v>
          </cell>
          <cell r="B406" t="str">
            <v>IG</v>
          </cell>
        </row>
        <row r="407">
          <cell r="A407" t="str">
            <v>Loan Status Description</v>
          </cell>
          <cell r="B407" t="str">
            <v>IN GRACE PERIOD</v>
          </cell>
        </row>
        <row r="408">
          <cell r="A408" t="str">
            <v>Loan Status Effective Date</v>
          </cell>
          <cell r="B408">
            <v>40628</v>
          </cell>
        </row>
        <row r="409">
          <cell r="A409" t="str">
            <v>Loan Status</v>
          </cell>
          <cell r="B409" t="str">
            <v>IA</v>
          </cell>
        </row>
        <row r="410">
          <cell r="A410" t="str">
            <v>Loan Status Description</v>
          </cell>
          <cell r="B410" t="str">
            <v>LOAN ORIGINATED</v>
          </cell>
        </row>
        <row r="411">
          <cell r="A411" t="str">
            <v>Loan Status Effective Date</v>
          </cell>
          <cell r="B411">
            <v>40310</v>
          </cell>
        </row>
        <row r="412">
          <cell r="A412" t="str">
            <v>Loan Disbursement Date</v>
          </cell>
          <cell r="B412">
            <v>40312</v>
          </cell>
        </row>
        <row r="413">
          <cell r="A413" t="str">
            <v>Loan Disbursement Amount</v>
          </cell>
          <cell r="B413">
            <v>6000</v>
          </cell>
        </row>
        <row r="414">
          <cell r="A414" t="str">
            <v>Loan Contact Type</v>
          </cell>
          <cell r="B414" t="str">
            <v>Current Servicer</v>
          </cell>
        </row>
        <row r="415">
          <cell r="A415" t="str">
            <v>Loan Contact Name</v>
          </cell>
          <cell r="B415" t="str">
            <v>DEPT OF ED/NAVIENT</v>
          </cell>
        </row>
        <row r="416">
          <cell r="A416" t="str">
            <v>Loan Contact Street Address 1</v>
          </cell>
          <cell r="B416" t="str">
            <v>P.O. BOX 9635</v>
          </cell>
        </row>
        <row r="417">
          <cell r="A417" t="str">
            <v>Loan Contact Street Address 2</v>
          </cell>
        </row>
        <row r="418">
          <cell r="A418" t="str">
            <v>Loan Contact City</v>
          </cell>
          <cell r="B418" t="str">
            <v>WILKES-BARRE</v>
          </cell>
        </row>
        <row r="419">
          <cell r="A419" t="str">
            <v>Loan Contact State Code</v>
          </cell>
          <cell r="B419" t="str">
            <v>PA</v>
          </cell>
        </row>
        <row r="420">
          <cell r="A420" t="str">
            <v>Loan Contact Zip Code</v>
          </cell>
          <cell r="B420">
            <v>187739635</v>
          </cell>
        </row>
        <row r="421">
          <cell r="A421" t="str">
            <v>Loan Contact Phone Number</v>
          </cell>
          <cell r="B421" t="str">
            <v>800-722-1300</v>
          </cell>
        </row>
        <row r="422">
          <cell r="A422" t="str">
            <v>Loan Contact Phone Extension</v>
          </cell>
        </row>
        <row r="423">
          <cell r="A423" t="str">
            <v>Loan Contact Email Address</v>
          </cell>
        </row>
        <row r="424">
          <cell r="A424" t="str">
            <v>Loan Contact Web Site Address</v>
          </cell>
          <cell r="B424" t="str">
            <v>www.salliemae.com</v>
          </cell>
        </row>
        <row r="425">
          <cell r="A425" t="str">
            <v>Loan Contact Type</v>
          </cell>
          <cell r="B425" t="str">
            <v>Current Lender</v>
          </cell>
        </row>
        <row r="426">
          <cell r="A426" t="str">
            <v>Loan Contact Name</v>
          </cell>
          <cell r="B426" t="str">
            <v>U.S. DEPT OF EDUCATION/2009-2010 LPCP</v>
          </cell>
        </row>
        <row r="427">
          <cell r="A427" t="str">
            <v>Loan Contact Street Address 1</v>
          </cell>
          <cell r="B427" t="str">
            <v>830 FIRST ST. NE</v>
          </cell>
        </row>
        <row r="428">
          <cell r="A428" t="str">
            <v>Loan Contact Street Address 2</v>
          </cell>
        </row>
        <row r="429">
          <cell r="A429" t="str">
            <v>Loan Contact City</v>
          </cell>
          <cell r="B429" t="str">
            <v>WASHINGTON</v>
          </cell>
        </row>
        <row r="430">
          <cell r="A430" t="str">
            <v>Loan Contact State Code</v>
          </cell>
          <cell r="B430" t="str">
            <v>DC</v>
          </cell>
        </row>
        <row r="431">
          <cell r="A431" t="str">
            <v>Loan Contact Zip Code</v>
          </cell>
          <cell r="B431">
            <v>202020000</v>
          </cell>
        </row>
        <row r="432">
          <cell r="A432" t="str">
            <v>Loan Contact Phone Number</v>
          </cell>
        </row>
        <row r="433">
          <cell r="A433" t="str">
            <v>Loan Contact Phone Extension</v>
          </cell>
        </row>
        <row r="434">
          <cell r="A434" t="str">
            <v>Loan Contact Email Address</v>
          </cell>
        </row>
        <row r="435">
          <cell r="A435" t="str">
            <v>Loan Contact Web Site Address</v>
          </cell>
        </row>
        <row r="436">
          <cell r="A436" t="str">
            <v>Loan Contact Type</v>
          </cell>
          <cell r="B436" t="str">
            <v>Current ED Servicer</v>
          </cell>
        </row>
        <row r="437">
          <cell r="A437" t="str">
            <v>Loan Contact Name</v>
          </cell>
          <cell r="B437" t="str">
            <v>DEPT OF ED/NAVIENT</v>
          </cell>
        </row>
        <row r="438">
          <cell r="A438" t="str">
            <v>Loan Contact Street Address 1</v>
          </cell>
          <cell r="B438" t="str">
            <v>PO BOX 740351</v>
          </cell>
        </row>
        <row r="439">
          <cell r="A439" t="str">
            <v>Loan Contact Street Address 2</v>
          </cell>
        </row>
        <row r="440">
          <cell r="A440" t="str">
            <v>Loan Contact City</v>
          </cell>
          <cell r="B440" t="str">
            <v>ATLANTA</v>
          </cell>
        </row>
        <row r="441">
          <cell r="A441" t="str">
            <v>Loan Contact State Code</v>
          </cell>
          <cell r="B441" t="str">
            <v>GA</v>
          </cell>
        </row>
        <row r="442">
          <cell r="A442" t="str">
            <v>Loan Contact Zip Code</v>
          </cell>
          <cell r="B442">
            <v>30348</v>
          </cell>
        </row>
        <row r="443">
          <cell r="A443" t="str">
            <v>Loan Contact Phone Number</v>
          </cell>
          <cell r="B443" t="str">
            <v>800-722-1300</v>
          </cell>
        </row>
        <row r="444">
          <cell r="A444" t="str">
            <v>Loan Contact Phone Extension</v>
          </cell>
        </row>
        <row r="445">
          <cell r="A445" t="str">
            <v>Loan Contact Email Address</v>
          </cell>
        </row>
        <row r="446">
          <cell r="A446" t="str">
            <v>Loan Contact Web Site Address</v>
          </cell>
          <cell r="B446" t="str">
            <v>www.navient.com</v>
          </cell>
        </row>
        <row r="447">
          <cell r="A447" t="str">
            <v>Loan Type</v>
          </cell>
          <cell r="B447" t="str">
            <v>STAFFORD SUBSIDIZED</v>
          </cell>
        </row>
        <row r="448">
          <cell r="A448" t="str">
            <v>Loan Award ID</v>
          </cell>
          <cell r="B448" t="str">
            <v>*****9785110022444002</v>
          </cell>
        </row>
        <row r="449">
          <cell r="A449" t="str">
            <v>Loan Attending School Name</v>
          </cell>
          <cell r="B449" t="str">
            <v>AMERICAN UNIVERSITY OF THE CARIBBEAN</v>
          </cell>
        </row>
        <row r="450">
          <cell r="A450" t="str">
            <v>Loan Attending School OPEID</v>
          </cell>
          <cell r="B450">
            <v>2244400</v>
          </cell>
        </row>
        <row r="451">
          <cell r="A451" t="str">
            <v>Loan Date</v>
          </cell>
          <cell r="B451">
            <v>40310</v>
          </cell>
        </row>
        <row r="452">
          <cell r="A452" t="str">
            <v>Loan Repayment Begin Date</v>
          </cell>
          <cell r="B452">
            <v>40812</v>
          </cell>
        </row>
        <row r="453">
          <cell r="A453" t="str">
            <v>Loan Period Begin Date</v>
          </cell>
          <cell r="B453">
            <v>40302</v>
          </cell>
        </row>
        <row r="454">
          <cell r="A454" t="str">
            <v>Loan Period End Date</v>
          </cell>
          <cell r="B454">
            <v>40410</v>
          </cell>
        </row>
        <row r="455">
          <cell r="A455" t="str">
            <v>Loan Amount</v>
          </cell>
          <cell r="B455">
            <v>4250</v>
          </cell>
        </row>
        <row r="456">
          <cell r="A456" t="str">
            <v>Loan Disbursed Amount</v>
          </cell>
          <cell r="B456">
            <v>4250</v>
          </cell>
        </row>
        <row r="457">
          <cell r="A457" t="str">
            <v>Loan Canceled Amount</v>
          </cell>
          <cell r="B457">
            <v>0</v>
          </cell>
        </row>
        <row r="458">
          <cell r="A458" t="str">
            <v>Loan Canceled Date</v>
          </cell>
        </row>
        <row r="459">
          <cell r="A459" t="str">
            <v>Loan Outstanding Principal Balance</v>
          </cell>
          <cell r="B459">
            <v>5048</v>
          </cell>
        </row>
        <row r="460">
          <cell r="A460" t="str">
            <v>Loan Outstanding Principal Balance as of Date</v>
          </cell>
          <cell r="B460">
            <v>42310</v>
          </cell>
        </row>
        <row r="461">
          <cell r="A461" t="str">
            <v>Loan Outstanding Interest Balance</v>
          </cell>
          <cell r="B461">
            <v>0</v>
          </cell>
        </row>
        <row r="462">
          <cell r="A462" t="str">
            <v>Loan Outstanding Interest Balance as of Date</v>
          </cell>
          <cell r="B462">
            <v>42310</v>
          </cell>
        </row>
        <row r="463">
          <cell r="A463" t="str">
            <v>Loan Interest Rate Type</v>
          </cell>
          <cell r="B463" t="str">
            <v>FIXED</v>
          </cell>
        </row>
        <row r="464">
          <cell r="A464" t="str">
            <v>Loan Interest Rate</v>
          </cell>
          <cell r="B464">
            <v>6.8000000000000005E-2</v>
          </cell>
        </row>
        <row r="465">
          <cell r="A465" t="str">
            <v>Loan Repayment Plan Begin Date</v>
          </cell>
          <cell r="B465">
            <v>40766</v>
          </cell>
        </row>
        <row r="466">
          <cell r="A466" t="str">
            <v>Loan Repayment Plan Scheduled Amount</v>
          </cell>
          <cell r="B466">
            <v>57</v>
          </cell>
        </row>
        <row r="467">
          <cell r="A467" t="str">
            <v>Loan Confirmed Subsidy Status</v>
          </cell>
        </row>
        <row r="468">
          <cell r="A468" t="str">
            <v>Loan Subsidized Usage in Years</v>
          </cell>
        </row>
        <row r="469">
          <cell r="A469" t="str">
            <v>Loan Reaffirmation Date</v>
          </cell>
        </row>
        <row r="470">
          <cell r="A470" t="str">
            <v>Loan Status</v>
          </cell>
          <cell r="B470" t="str">
            <v>DA</v>
          </cell>
        </row>
        <row r="471">
          <cell r="A471" t="str">
            <v>Loan Status Description</v>
          </cell>
          <cell r="B471" t="str">
            <v>DEFERRED</v>
          </cell>
        </row>
        <row r="472">
          <cell r="A472" t="str">
            <v>Loan Status Effective Date</v>
          </cell>
          <cell r="B472">
            <v>41821</v>
          </cell>
        </row>
        <row r="473">
          <cell r="A473" t="str">
            <v>Loan Status</v>
          </cell>
          <cell r="B473" t="str">
            <v>FB</v>
          </cell>
        </row>
        <row r="474">
          <cell r="A474" t="str">
            <v>Loan Status Description</v>
          </cell>
          <cell r="B474" t="str">
            <v>FORBEARANCE</v>
          </cell>
        </row>
        <row r="475">
          <cell r="A475" t="str">
            <v>Loan Status Effective Date</v>
          </cell>
          <cell r="B475">
            <v>41813</v>
          </cell>
        </row>
        <row r="476">
          <cell r="A476" t="str">
            <v>Loan Status</v>
          </cell>
          <cell r="B476" t="str">
            <v>FB</v>
          </cell>
        </row>
        <row r="477">
          <cell r="A477" t="str">
            <v>Loan Status Description</v>
          </cell>
          <cell r="B477" t="str">
            <v>FORBEARANCE</v>
          </cell>
        </row>
        <row r="478">
          <cell r="A478" t="str">
            <v>Loan Status Effective Date</v>
          </cell>
          <cell r="B478">
            <v>41543</v>
          </cell>
        </row>
        <row r="479">
          <cell r="A479" t="str">
            <v>Loan Status</v>
          </cell>
          <cell r="B479" t="str">
            <v>FB</v>
          </cell>
        </row>
        <row r="480">
          <cell r="A480" t="str">
            <v>Loan Status Description</v>
          </cell>
          <cell r="B480" t="str">
            <v>FORBEARANCE</v>
          </cell>
        </row>
        <row r="481">
          <cell r="A481" t="str">
            <v>Loan Status Effective Date</v>
          </cell>
          <cell r="B481">
            <v>41178</v>
          </cell>
        </row>
        <row r="482">
          <cell r="A482" t="str">
            <v>Loan Status</v>
          </cell>
          <cell r="B482" t="str">
            <v>FB</v>
          </cell>
        </row>
        <row r="483">
          <cell r="A483" t="str">
            <v>Loan Status Description</v>
          </cell>
          <cell r="B483" t="str">
            <v>FORBEARANCE</v>
          </cell>
        </row>
        <row r="484">
          <cell r="A484" t="str">
            <v>Loan Status Effective Date</v>
          </cell>
          <cell r="B484">
            <v>40812</v>
          </cell>
        </row>
        <row r="485">
          <cell r="A485" t="str">
            <v>Loan Status</v>
          </cell>
          <cell r="B485" t="str">
            <v>IG</v>
          </cell>
        </row>
        <row r="486">
          <cell r="A486" t="str">
            <v>Loan Status Description</v>
          </cell>
          <cell r="B486" t="str">
            <v>IN GRACE PERIOD</v>
          </cell>
        </row>
        <row r="487">
          <cell r="A487" t="str">
            <v>Loan Status Effective Date</v>
          </cell>
          <cell r="B487">
            <v>40628</v>
          </cell>
        </row>
        <row r="488">
          <cell r="A488" t="str">
            <v>Loan Status</v>
          </cell>
          <cell r="B488" t="str">
            <v>IA</v>
          </cell>
        </row>
        <row r="489">
          <cell r="A489" t="str">
            <v>Loan Status Description</v>
          </cell>
          <cell r="B489" t="str">
            <v>LOAN ORIGINATED</v>
          </cell>
        </row>
        <row r="490">
          <cell r="A490" t="str">
            <v>Loan Status Effective Date</v>
          </cell>
          <cell r="B490">
            <v>40310</v>
          </cell>
        </row>
        <row r="491">
          <cell r="A491" t="str">
            <v>Loan Disbursement Date</v>
          </cell>
          <cell r="B491">
            <v>40312</v>
          </cell>
        </row>
        <row r="492">
          <cell r="A492" t="str">
            <v>Loan Disbursement Amount</v>
          </cell>
          <cell r="B492">
            <v>4250</v>
          </cell>
        </row>
        <row r="493">
          <cell r="A493" t="str">
            <v>Loan Contact Type</v>
          </cell>
          <cell r="B493" t="str">
            <v>Current Servicer</v>
          </cell>
        </row>
        <row r="494">
          <cell r="A494" t="str">
            <v>Loan Contact Name</v>
          </cell>
          <cell r="B494" t="str">
            <v>DEPT OF ED/NAVIENT</v>
          </cell>
        </row>
        <row r="495">
          <cell r="A495" t="str">
            <v>Loan Contact Street Address 1</v>
          </cell>
          <cell r="B495" t="str">
            <v>P.O. BOX 9635</v>
          </cell>
        </row>
        <row r="496">
          <cell r="A496" t="str">
            <v>Loan Contact Street Address 2</v>
          </cell>
        </row>
        <row r="497">
          <cell r="A497" t="str">
            <v>Loan Contact City</v>
          </cell>
          <cell r="B497" t="str">
            <v>WILKES-BARRE</v>
          </cell>
        </row>
        <row r="498">
          <cell r="A498" t="str">
            <v>Loan Contact State Code</v>
          </cell>
          <cell r="B498" t="str">
            <v>PA</v>
          </cell>
        </row>
        <row r="499">
          <cell r="A499" t="str">
            <v>Loan Contact Zip Code</v>
          </cell>
          <cell r="B499">
            <v>187739635</v>
          </cell>
        </row>
        <row r="500">
          <cell r="A500" t="str">
            <v>Loan Contact Phone Number</v>
          </cell>
          <cell r="B500" t="str">
            <v>800-722-1300</v>
          </cell>
        </row>
        <row r="501">
          <cell r="A501" t="str">
            <v>Loan Contact Phone Extension</v>
          </cell>
        </row>
        <row r="502">
          <cell r="A502" t="str">
            <v>Loan Contact Email Address</v>
          </cell>
        </row>
        <row r="503">
          <cell r="A503" t="str">
            <v>Loan Contact Web Site Address</v>
          </cell>
          <cell r="B503" t="str">
            <v>www.salliemae.com</v>
          </cell>
        </row>
        <row r="504">
          <cell r="A504" t="str">
            <v>Loan Contact Type</v>
          </cell>
          <cell r="B504" t="str">
            <v>Current Lender</v>
          </cell>
        </row>
        <row r="505">
          <cell r="A505" t="str">
            <v>Loan Contact Name</v>
          </cell>
          <cell r="B505" t="str">
            <v>U.S. DEPT OF EDUCATION/2009-2010 LPCP</v>
          </cell>
        </row>
        <row r="506">
          <cell r="A506" t="str">
            <v>Loan Contact Street Address 1</v>
          </cell>
          <cell r="B506" t="str">
            <v>830 FIRST ST. NE</v>
          </cell>
        </row>
        <row r="507">
          <cell r="A507" t="str">
            <v>Loan Contact Street Address 2</v>
          </cell>
        </row>
        <row r="508">
          <cell r="A508" t="str">
            <v>Loan Contact City</v>
          </cell>
          <cell r="B508" t="str">
            <v>WASHINGTON</v>
          </cell>
        </row>
        <row r="509">
          <cell r="A509" t="str">
            <v>Loan Contact State Code</v>
          </cell>
          <cell r="B509" t="str">
            <v>DC</v>
          </cell>
        </row>
        <row r="510">
          <cell r="A510" t="str">
            <v>Loan Contact Zip Code</v>
          </cell>
          <cell r="B510">
            <v>202020000</v>
          </cell>
        </row>
        <row r="511">
          <cell r="A511" t="str">
            <v>Loan Contact Phone Number</v>
          </cell>
        </row>
        <row r="512">
          <cell r="A512" t="str">
            <v>Loan Contact Phone Extension</v>
          </cell>
        </row>
        <row r="513">
          <cell r="A513" t="str">
            <v>Loan Contact Email Address</v>
          </cell>
        </row>
        <row r="514">
          <cell r="A514" t="str">
            <v>Loan Contact Web Site Address</v>
          </cell>
        </row>
        <row r="515">
          <cell r="A515" t="str">
            <v>Loan Contact Type</v>
          </cell>
          <cell r="B515" t="str">
            <v>Current ED Servicer</v>
          </cell>
        </row>
        <row r="516">
          <cell r="A516" t="str">
            <v>Loan Contact Name</v>
          </cell>
          <cell r="B516" t="str">
            <v>DEPT OF ED/NAVIENT</v>
          </cell>
        </row>
        <row r="517">
          <cell r="A517" t="str">
            <v>Loan Contact Street Address 1</v>
          </cell>
          <cell r="B517" t="str">
            <v>PO BOX 740351</v>
          </cell>
        </row>
        <row r="518">
          <cell r="A518" t="str">
            <v>Loan Contact Street Address 2</v>
          </cell>
        </row>
        <row r="519">
          <cell r="A519" t="str">
            <v>Loan Contact City</v>
          </cell>
          <cell r="B519" t="str">
            <v>ATLANTA</v>
          </cell>
        </row>
        <row r="520">
          <cell r="A520" t="str">
            <v>Loan Contact State Code</v>
          </cell>
          <cell r="B520" t="str">
            <v>GA</v>
          </cell>
        </row>
        <row r="521">
          <cell r="A521" t="str">
            <v>Loan Contact Zip Code</v>
          </cell>
          <cell r="B521">
            <v>30348</v>
          </cell>
        </row>
        <row r="522">
          <cell r="A522" t="str">
            <v>Loan Contact Phone Number</v>
          </cell>
          <cell r="B522" t="str">
            <v>800-722-1300</v>
          </cell>
        </row>
        <row r="523">
          <cell r="A523" t="str">
            <v>Loan Contact Phone Extension</v>
          </cell>
        </row>
        <row r="524">
          <cell r="A524" t="str">
            <v>Loan Contact Email Address</v>
          </cell>
        </row>
        <row r="525">
          <cell r="A525" t="str">
            <v>Loan Contact Web Site Address</v>
          </cell>
          <cell r="B525" t="str">
            <v>www.navient.com</v>
          </cell>
        </row>
        <row r="526">
          <cell r="A526" t="str">
            <v>Loan Type</v>
          </cell>
          <cell r="B526" t="str">
            <v>STAFFORD SUBSIDIZED</v>
          </cell>
        </row>
        <row r="527">
          <cell r="A527" t="str">
            <v>Loan Award ID</v>
          </cell>
          <cell r="B527" t="str">
            <v>*****9785110022444001</v>
          </cell>
        </row>
        <row r="528">
          <cell r="A528" t="str">
            <v>Loan Attending School Name</v>
          </cell>
          <cell r="B528" t="str">
            <v>AMERICAN UNIVERSITY OF THE CARIBBEAN</v>
          </cell>
        </row>
        <row r="529">
          <cell r="A529" t="str">
            <v>Loan Attending School OPEID</v>
          </cell>
          <cell r="B529">
            <v>2244400</v>
          </cell>
        </row>
        <row r="530">
          <cell r="A530" t="str">
            <v>Loan Date</v>
          </cell>
          <cell r="B530">
            <v>40182</v>
          </cell>
        </row>
        <row r="531">
          <cell r="A531" t="str">
            <v>Loan Repayment Begin Date</v>
          </cell>
          <cell r="B531">
            <v>40812</v>
          </cell>
        </row>
        <row r="532">
          <cell r="A532" t="str">
            <v>Loan Period Begin Date</v>
          </cell>
          <cell r="B532">
            <v>40183</v>
          </cell>
        </row>
        <row r="533">
          <cell r="A533" t="str">
            <v>Loan Period End Date</v>
          </cell>
          <cell r="B533">
            <v>40292</v>
          </cell>
        </row>
        <row r="534">
          <cell r="A534" t="str">
            <v>Loan Amount</v>
          </cell>
          <cell r="B534">
            <v>4250</v>
          </cell>
        </row>
        <row r="535">
          <cell r="A535" t="str">
            <v>Loan Disbursed Amount</v>
          </cell>
          <cell r="B535">
            <v>4250</v>
          </cell>
        </row>
        <row r="536">
          <cell r="A536" t="str">
            <v>Loan Canceled Amount</v>
          </cell>
          <cell r="B536">
            <v>0</v>
          </cell>
        </row>
        <row r="537">
          <cell r="A537" t="str">
            <v>Loan Canceled Date</v>
          </cell>
        </row>
        <row r="538">
          <cell r="A538" t="str">
            <v>Loan Outstanding Principal Balance</v>
          </cell>
          <cell r="B538">
            <v>5048</v>
          </cell>
        </row>
        <row r="539">
          <cell r="A539" t="str">
            <v>Loan Outstanding Principal Balance as of Date</v>
          </cell>
          <cell r="B539">
            <v>42310</v>
          </cell>
        </row>
        <row r="540">
          <cell r="A540" t="str">
            <v>Loan Outstanding Interest Balance</v>
          </cell>
          <cell r="B540">
            <v>0</v>
          </cell>
        </row>
        <row r="541">
          <cell r="A541" t="str">
            <v>Loan Outstanding Interest Balance as of Date</v>
          </cell>
          <cell r="B541">
            <v>42310</v>
          </cell>
        </row>
        <row r="542">
          <cell r="A542" t="str">
            <v>Loan Interest Rate Type</v>
          </cell>
          <cell r="B542" t="str">
            <v>FIXED</v>
          </cell>
        </row>
        <row r="543">
          <cell r="A543" t="str">
            <v>Loan Interest Rate</v>
          </cell>
          <cell r="B543">
            <v>6.8000000000000005E-2</v>
          </cell>
        </row>
        <row r="544">
          <cell r="A544" t="str">
            <v>Loan Repayment Plan Begin Date</v>
          </cell>
          <cell r="B544">
            <v>40766</v>
          </cell>
        </row>
        <row r="545">
          <cell r="A545" t="str">
            <v>Loan Repayment Plan Scheduled Amount</v>
          </cell>
          <cell r="B545">
            <v>57</v>
          </cell>
        </row>
        <row r="546">
          <cell r="A546" t="str">
            <v>Loan Confirmed Subsidy Status</v>
          </cell>
        </row>
        <row r="547">
          <cell r="A547" t="str">
            <v>Loan Subsidized Usage in Years</v>
          </cell>
        </row>
        <row r="548">
          <cell r="A548" t="str">
            <v>Loan Reaffirmation Date</v>
          </cell>
        </row>
        <row r="549">
          <cell r="A549" t="str">
            <v>Loan Status</v>
          </cell>
          <cell r="B549" t="str">
            <v>DA</v>
          </cell>
        </row>
        <row r="550">
          <cell r="A550" t="str">
            <v>Loan Status Description</v>
          </cell>
          <cell r="B550" t="str">
            <v>DEFERRED</v>
          </cell>
        </row>
        <row r="551">
          <cell r="A551" t="str">
            <v>Loan Status Effective Date</v>
          </cell>
          <cell r="B551">
            <v>41821</v>
          </cell>
        </row>
        <row r="552">
          <cell r="A552" t="str">
            <v>Loan Status</v>
          </cell>
          <cell r="B552" t="str">
            <v>FB</v>
          </cell>
        </row>
        <row r="553">
          <cell r="A553" t="str">
            <v>Loan Status Description</v>
          </cell>
          <cell r="B553" t="str">
            <v>FORBEARANCE</v>
          </cell>
        </row>
        <row r="554">
          <cell r="A554" t="str">
            <v>Loan Status Effective Date</v>
          </cell>
          <cell r="B554">
            <v>41813</v>
          </cell>
        </row>
        <row r="555">
          <cell r="A555" t="str">
            <v>Loan Status</v>
          </cell>
          <cell r="B555" t="str">
            <v>FB</v>
          </cell>
        </row>
        <row r="556">
          <cell r="A556" t="str">
            <v>Loan Status Description</v>
          </cell>
          <cell r="B556" t="str">
            <v>FORBEARANCE</v>
          </cell>
        </row>
        <row r="557">
          <cell r="A557" t="str">
            <v>Loan Status Effective Date</v>
          </cell>
          <cell r="B557">
            <v>41543</v>
          </cell>
        </row>
        <row r="558">
          <cell r="A558" t="str">
            <v>Loan Status</v>
          </cell>
          <cell r="B558" t="str">
            <v>FB</v>
          </cell>
        </row>
        <row r="559">
          <cell r="A559" t="str">
            <v>Loan Status Description</v>
          </cell>
          <cell r="B559" t="str">
            <v>FORBEARANCE</v>
          </cell>
        </row>
        <row r="560">
          <cell r="A560" t="str">
            <v>Loan Status Effective Date</v>
          </cell>
          <cell r="B560">
            <v>41178</v>
          </cell>
        </row>
        <row r="561">
          <cell r="A561" t="str">
            <v>Loan Status</v>
          </cell>
          <cell r="B561" t="str">
            <v>FB</v>
          </cell>
        </row>
        <row r="562">
          <cell r="A562" t="str">
            <v>Loan Status Description</v>
          </cell>
          <cell r="B562" t="str">
            <v>FORBEARANCE</v>
          </cell>
        </row>
        <row r="563">
          <cell r="A563" t="str">
            <v>Loan Status Effective Date</v>
          </cell>
          <cell r="B563">
            <v>40812</v>
          </cell>
        </row>
        <row r="564">
          <cell r="A564" t="str">
            <v>Loan Status</v>
          </cell>
          <cell r="B564" t="str">
            <v>IG</v>
          </cell>
        </row>
        <row r="565">
          <cell r="A565" t="str">
            <v>Loan Status Description</v>
          </cell>
          <cell r="B565" t="str">
            <v>IN GRACE PERIOD</v>
          </cell>
        </row>
        <row r="566">
          <cell r="A566" t="str">
            <v>Loan Status Effective Date</v>
          </cell>
          <cell r="B566">
            <v>40628</v>
          </cell>
        </row>
        <row r="567">
          <cell r="A567" t="str">
            <v>Loan Status</v>
          </cell>
          <cell r="B567" t="str">
            <v>IA</v>
          </cell>
        </row>
        <row r="568">
          <cell r="A568" t="str">
            <v>Loan Status Description</v>
          </cell>
          <cell r="B568" t="str">
            <v>LOAN ORIGINATED</v>
          </cell>
        </row>
        <row r="569">
          <cell r="A569" t="str">
            <v>Loan Status Effective Date</v>
          </cell>
          <cell r="B569">
            <v>40182</v>
          </cell>
        </row>
        <row r="570">
          <cell r="A570" t="str">
            <v>Loan Disbursement Date</v>
          </cell>
          <cell r="B570">
            <v>40184</v>
          </cell>
        </row>
        <row r="571">
          <cell r="A571" t="str">
            <v>Loan Disbursement Amount</v>
          </cell>
          <cell r="B571">
            <v>4250</v>
          </cell>
        </row>
        <row r="572">
          <cell r="A572" t="str">
            <v>Loan Contact Type</v>
          </cell>
          <cell r="B572" t="str">
            <v>Current Servicer</v>
          </cell>
        </row>
        <row r="573">
          <cell r="A573" t="str">
            <v>Loan Contact Name</v>
          </cell>
          <cell r="B573" t="str">
            <v>DEPT OF ED/NAVIENT</v>
          </cell>
        </row>
        <row r="574">
          <cell r="A574" t="str">
            <v>Loan Contact Street Address 1</v>
          </cell>
          <cell r="B574" t="str">
            <v>P.O. BOX 9635</v>
          </cell>
        </row>
        <row r="575">
          <cell r="A575" t="str">
            <v>Loan Contact Street Address 2</v>
          </cell>
        </row>
        <row r="576">
          <cell r="A576" t="str">
            <v>Loan Contact City</v>
          </cell>
          <cell r="B576" t="str">
            <v>WILKES-BARRE</v>
          </cell>
        </row>
        <row r="577">
          <cell r="A577" t="str">
            <v>Loan Contact State Code</v>
          </cell>
          <cell r="B577" t="str">
            <v>PA</v>
          </cell>
        </row>
        <row r="578">
          <cell r="A578" t="str">
            <v>Loan Contact Zip Code</v>
          </cell>
          <cell r="B578">
            <v>187739635</v>
          </cell>
        </row>
        <row r="579">
          <cell r="A579" t="str">
            <v>Loan Contact Phone Number</v>
          </cell>
          <cell r="B579" t="str">
            <v>800-722-1300</v>
          </cell>
        </row>
        <row r="580">
          <cell r="A580" t="str">
            <v>Loan Contact Phone Extension</v>
          </cell>
        </row>
        <row r="581">
          <cell r="A581" t="str">
            <v>Loan Contact Email Address</v>
          </cell>
        </row>
        <row r="582">
          <cell r="A582" t="str">
            <v>Loan Contact Web Site Address</v>
          </cell>
          <cell r="B582" t="str">
            <v>www.salliemae.com</v>
          </cell>
        </row>
        <row r="583">
          <cell r="A583" t="str">
            <v>Loan Contact Type</v>
          </cell>
          <cell r="B583" t="str">
            <v>Current Lender</v>
          </cell>
        </row>
        <row r="584">
          <cell r="A584" t="str">
            <v>Loan Contact Name</v>
          </cell>
          <cell r="B584" t="str">
            <v>U.S. DEPT OF EDUCATION/2009-2010 LPCP</v>
          </cell>
        </row>
        <row r="585">
          <cell r="A585" t="str">
            <v>Loan Contact Street Address 1</v>
          </cell>
          <cell r="B585" t="str">
            <v>830 FIRST ST. NE</v>
          </cell>
        </row>
        <row r="586">
          <cell r="A586" t="str">
            <v>Loan Contact Street Address 2</v>
          </cell>
        </row>
        <row r="587">
          <cell r="A587" t="str">
            <v>Loan Contact City</v>
          </cell>
          <cell r="B587" t="str">
            <v>WASHINGTON</v>
          </cell>
        </row>
        <row r="588">
          <cell r="A588" t="str">
            <v>Loan Contact State Code</v>
          </cell>
          <cell r="B588" t="str">
            <v>DC</v>
          </cell>
        </row>
        <row r="589">
          <cell r="A589" t="str">
            <v>Loan Contact Zip Code</v>
          </cell>
          <cell r="B589">
            <v>202020000</v>
          </cell>
        </row>
        <row r="590">
          <cell r="A590" t="str">
            <v>Loan Contact Phone Number</v>
          </cell>
        </row>
        <row r="591">
          <cell r="A591" t="str">
            <v>Loan Contact Phone Extension</v>
          </cell>
        </row>
        <row r="592">
          <cell r="A592" t="str">
            <v>Loan Contact Email Address</v>
          </cell>
        </row>
        <row r="593">
          <cell r="A593" t="str">
            <v>Loan Contact Web Site Address</v>
          </cell>
        </row>
        <row r="594">
          <cell r="A594" t="str">
            <v>Loan Contact Type</v>
          </cell>
          <cell r="B594" t="str">
            <v>Current ED Servicer</v>
          </cell>
        </row>
        <row r="595">
          <cell r="A595" t="str">
            <v>Loan Contact Name</v>
          </cell>
          <cell r="B595" t="str">
            <v>DEPT OF ED/NAVIENT</v>
          </cell>
        </row>
        <row r="596">
          <cell r="A596" t="str">
            <v>Loan Contact Street Address 1</v>
          </cell>
          <cell r="B596" t="str">
            <v>PO BOX 740351</v>
          </cell>
        </row>
        <row r="597">
          <cell r="A597" t="str">
            <v>Loan Contact Street Address 2</v>
          </cell>
        </row>
        <row r="598">
          <cell r="A598" t="str">
            <v>Loan Contact City</v>
          </cell>
          <cell r="B598" t="str">
            <v>ATLANTA</v>
          </cell>
        </row>
        <row r="599">
          <cell r="A599" t="str">
            <v>Loan Contact State Code</v>
          </cell>
          <cell r="B599" t="str">
            <v>GA</v>
          </cell>
        </row>
        <row r="600">
          <cell r="A600" t="str">
            <v>Loan Contact Zip Code</v>
          </cell>
          <cell r="B600">
            <v>30348</v>
          </cell>
        </row>
        <row r="601">
          <cell r="A601" t="str">
            <v>Loan Contact Phone Number</v>
          </cell>
          <cell r="B601" t="str">
            <v>800-722-1300</v>
          </cell>
        </row>
        <row r="602">
          <cell r="A602" t="str">
            <v>Loan Contact Phone Extension</v>
          </cell>
        </row>
        <row r="603">
          <cell r="A603" t="str">
            <v>Loan Contact Email Address</v>
          </cell>
        </row>
        <row r="604">
          <cell r="A604" t="str">
            <v>Loan Contact Web Site Address</v>
          </cell>
          <cell r="B604" t="str">
            <v>www.navient.com</v>
          </cell>
        </row>
        <row r="605">
          <cell r="A605" t="str">
            <v>Loan Type</v>
          </cell>
          <cell r="B605" t="str">
            <v>STAFFORD UNSUBSIDIZED</v>
          </cell>
        </row>
        <row r="606">
          <cell r="A606" t="str">
            <v>Loan Award ID</v>
          </cell>
          <cell r="B606" t="str">
            <v>*****9785210022444001</v>
          </cell>
        </row>
        <row r="607">
          <cell r="A607" t="str">
            <v>Loan Attending School Name</v>
          </cell>
          <cell r="B607" t="str">
            <v>AMERICAN UNIVERSITY OF THE CARIBBEAN</v>
          </cell>
        </row>
        <row r="608">
          <cell r="A608" t="str">
            <v>Loan Attending School OPEID</v>
          </cell>
          <cell r="B608">
            <v>2244400</v>
          </cell>
        </row>
        <row r="609">
          <cell r="A609" t="str">
            <v>Loan Date</v>
          </cell>
          <cell r="B609">
            <v>40182</v>
          </cell>
        </row>
        <row r="610">
          <cell r="A610" t="str">
            <v>Loan Repayment Begin Date</v>
          </cell>
          <cell r="B610">
            <v>40812</v>
          </cell>
        </row>
        <row r="611">
          <cell r="A611" t="str">
            <v>Loan Period Begin Date</v>
          </cell>
          <cell r="B611">
            <v>40183</v>
          </cell>
        </row>
        <row r="612">
          <cell r="A612" t="str">
            <v>Loan Period End Date</v>
          </cell>
          <cell r="B612">
            <v>40292</v>
          </cell>
        </row>
        <row r="613">
          <cell r="A613" t="str">
            <v>Loan Amount</v>
          </cell>
          <cell r="B613">
            <v>6000</v>
          </cell>
        </row>
        <row r="614">
          <cell r="A614" t="str">
            <v>Loan Disbursed Amount</v>
          </cell>
          <cell r="B614">
            <v>6000</v>
          </cell>
        </row>
        <row r="615">
          <cell r="A615" t="str">
            <v>Loan Canceled Amount</v>
          </cell>
          <cell r="B615">
            <v>0</v>
          </cell>
        </row>
        <row r="616">
          <cell r="A616" t="str">
            <v>Loan Canceled Date</v>
          </cell>
        </row>
        <row r="617">
          <cell r="A617" t="str">
            <v>Loan Outstanding Principal Balance</v>
          </cell>
          <cell r="B617">
            <v>6701</v>
          </cell>
        </row>
        <row r="618">
          <cell r="A618" t="str">
            <v>Loan Outstanding Principal Balance as of Date</v>
          </cell>
          <cell r="B618">
            <v>42310</v>
          </cell>
        </row>
        <row r="619">
          <cell r="A619" t="str">
            <v>Loan Outstanding Interest Balance</v>
          </cell>
          <cell r="B619">
            <v>1867</v>
          </cell>
        </row>
        <row r="620">
          <cell r="A620" t="str">
            <v>Loan Outstanding Interest Balance as of Date</v>
          </cell>
          <cell r="B620">
            <v>42310</v>
          </cell>
        </row>
        <row r="621">
          <cell r="A621" t="str">
            <v>Loan Interest Rate Type</v>
          </cell>
          <cell r="B621" t="str">
            <v>FIXED</v>
          </cell>
        </row>
        <row r="622">
          <cell r="A622" t="str">
            <v>Loan Interest Rate</v>
          </cell>
          <cell r="B622">
            <v>6.8000000000000005E-2</v>
          </cell>
        </row>
        <row r="623">
          <cell r="A623" t="str">
            <v>Loan Repayment Plan Begin Date</v>
          </cell>
          <cell r="B623">
            <v>40766</v>
          </cell>
        </row>
        <row r="624">
          <cell r="A624" t="str">
            <v>Loan Repayment Plan Scheduled Amount</v>
          </cell>
          <cell r="B624">
            <v>91</v>
          </cell>
        </row>
        <row r="625">
          <cell r="A625" t="str">
            <v>Loan Confirmed Subsidy Status</v>
          </cell>
        </row>
        <row r="626">
          <cell r="A626" t="str">
            <v>Loan Subsidized Usage in Years</v>
          </cell>
        </row>
        <row r="627">
          <cell r="A627" t="str">
            <v>Loan Reaffirmation Date</v>
          </cell>
        </row>
        <row r="628">
          <cell r="A628" t="str">
            <v>Loan Status</v>
          </cell>
          <cell r="B628" t="str">
            <v>DA</v>
          </cell>
        </row>
        <row r="629">
          <cell r="A629" t="str">
            <v>Loan Status Description</v>
          </cell>
          <cell r="B629" t="str">
            <v>DEFERRED</v>
          </cell>
        </row>
        <row r="630">
          <cell r="A630" t="str">
            <v>Loan Status Effective Date</v>
          </cell>
          <cell r="B630">
            <v>41821</v>
          </cell>
        </row>
        <row r="631">
          <cell r="A631" t="str">
            <v>Loan Status</v>
          </cell>
          <cell r="B631" t="str">
            <v>FB</v>
          </cell>
        </row>
        <row r="632">
          <cell r="A632" t="str">
            <v>Loan Status Description</v>
          </cell>
          <cell r="B632" t="str">
            <v>FORBEARANCE</v>
          </cell>
        </row>
        <row r="633">
          <cell r="A633" t="str">
            <v>Loan Status Effective Date</v>
          </cell>
          <cell r="B633">
            <v>41813</v>
          </cell>
        </row>
        <row r="634">
          <cell r="A634" t="str">
            <v>Loan Status</v>
          </cell>
          <cell r="B634" t="str">
            <v>FB</v>
          </cell>
        </row>
        <row r="635">
          <cell r="A635" t="str">
            <v>Loan Status Description</v>
          </cell>
          <cell r="B635" t="str">
            <v>FORBEARANCE</v>
          </cell>
        </row>
        <row r="636">
          <cell r="A636" t="str">
            <v>Loan Status Effective Date</v>
          </cell>
          <cell r="B636">
            <v>41543</v>
          </cell>
        </row>
        <row r="637">
          <cell r="A637" t="str">
            <v>Loan Status</v>
          </cell>
          <cell r="B637" t="str">
            <v>FB</v>
          </cell>
        </row>
        <row r="638">
          <cell r="A638" t="str">
            <v>Loan Status Description</v>
          </cell>
          <cell r="B638" t="str">
            <v>FORBEARANCE</v>
          </cell>
        </row>
        <row r="639">
          <cell r="A639" t="str">
            <v>Loan Status Effective Date</v>
          </cell>
          <cell r="B639">
            <v>41178</v>
          </cell>
        </row>
        <row r="640">
          <cell r="A640" t="str">
            <v>Loan Status</v>
          </cell>
          <cell r="B640" t="str">
            <v>FB</v>
          </cell>
        </row>
        <row r="641">
          <cell r="A641" t="str">
            <v>Loan Status Description</v>
          </cell>
          <cell r="B641" t="str">
            <v>FORBEARANCE</v>
          </cell>
        </row>
        <row r="642">
          <cell r="A642" t="str">
            <v>Loan Status Effective Date</v>
          </cell>
          <cell r="B642">
            <v>40812</v>
          </cell>
        </row>
        <row r="643">
          <cell r="A643" t="str">
            <v>Loan Status</v>
          </cell>
          <cell r="B643" t="str">
            <v>IG</v>
          </cell>
        </row>
        <row r="644">
          <cell r="A644" t="str">
            <v>Loan Status Description</v>
          </cell>
          <cell r="B644" t="str">
            <v>IN GRACE PERIOD</v>
          </cell>
        </row>
        <row r="645">
          <cell r="A645" t="str">
            <v>Loan Status Effective Date</v>
          </cell>
          <cell r="B645">
            <v>40628</v>
          </cell>
        </row>
        <row r="646">
          <cell r="A646" t="str">
            <v>Loan Status</v>
          </cell>
          <cell r="B646" t="str">
            <v>IA</v>
          </cell>
        </row>
        <row r="647">
          <cell r="A647" t="str">
            <v>Loan Status Description</v>
          </cell>
          <cell r="B647" t="str">
            <v>LOAN ORIGINATED</v>
          </cell>
        </row>
        <row r="648">
          <cell r="A648" t="str">
            <v>Loan Status Effective Date</v>
          </cell>
          <cell r="B648">
            <v>40182</v>
          </cell>
        </row>
        <row r="649">
          <cell r="A649" t="str">
            <v>Loan Disbursement Date</v>
          </cell>
          <cell r="B649">
            <v>40184</v>
          </cell>
        </row>
        <row r="650">
          <cell r="A650" t="str">
            <v>Loan Disbursement Amount</v>
          </cell>
          <cell r="B650">
            <v>6000</v>
          </cell>
        </row>
        <row r="651">
          <cell r="A651" t="str">
            <v>Loan Contact Type</v>
          </cell>
          <cell r="B651" t="str">
            <v>Current Servicer</v>
          </cell>
        </row>
        <row r="652">
          <cell r="A652" t="str">
            <v>Loan Contact Name</v>
          </cell>
          <cell r="B652" t="str">
            <v>DEPT OF ED/NAVIENT</v>
          </cell>
        </row>
        <row r="653">
          <cell r="A653" t="str">
            <v>Loan Contact Street Address 1</v>
          </cell>
          <cell r="B653" t="str">
            <v>P.O. BOX 9635</v>
          </cell>
        </row>
        <row r="654">
          <cell r="A654" t="str">
            <v>Loan Contact Street Address 2</v>
          </cell>
        </row>
        <row r="655">
          <cell r="A655" t="str">
            <v>Loan Contact City</v>
          </cell>
          <cell r="B655" t="str">
            <v>WILKES-BARRE</v>
          </cell>
        </row>
        <row r="656">
          <cell r="A656" t="str">
            <v>Loan Contact State Code</v>
          </cell>
          <cell r="B656" t="str">
            <v>PA</v>
          </cell>
        </row>
        <row r="657">
          <cell r="A657" t="str">
            <v>Loan Contact Zip Code</v>
          </cell>
          <cell r="B657">
            <v>187739635</v>
          </cell>
        </row>
        <row r="658">
          <cell r="A658" t="str">
            <v>Loan Contact Phone Number</v>
          </cell>
          <cell r="B658" t="str">
            <v>800-722-1300</v>
          </cell>
        </row>
        <row r="659">
          <cell r="A659" t="str">
            <v>Loan Contact Phone Extension</v>
          </cell>
        </row>
        <row r="660">
          <cell r="A660" t="str">
            <v>Loan Contact Email Address</v>
          </cell>
        </row>
        <row r="661">
          <cell r="A661" t="str">
            <v>Loan Contact Web Site Address</v>
          </cell>
          <cell r="B661" t="str">
            <v>www.salliemae.com</v>
          </cell>
        </row>
        <row r="662">
          <cell r="A662" t="str">
            <v>Loan Contact Type</v>
          </cell>
          <cell r="B662" t="str">
            <v>Current Lender</v>
          </cell>
        </row>
        <row r="663">
          <cell r="A663" t="str">
            <v>Loan Contact Name</v>
          </cell>
          <cell r="B663" t="str">
            <v>U.S. DEPT OF EDUCATION/2009-2010 LPCP</v>
          </cell>
        </row>
        <row r="664">
          <cell r="A664" t="str">
            <v>Loan Contact Street Address 1</v>
          </cell>
          <cell r="B664" t="str">
            <v>830 FIRST ST. NE</v>
          </cell>
        </row>
        <row r="665">
          <cell r="A665" t="str">
            <v>Loan Contact Street Address 2</v>
          </cell>
        </row>
        <row r="666">
          <cell r="A666" t="str">
            <v>Loan Contact City</v>
          </cell>
          <cell r="B666" t="str">
            <v>WASHINGTON</v>
          </cell>
        </row>
        <row r="667">
          <cell r="A667" t="str">
            <v>Loan Contact State Code</v>
          </cell>
          <cell r="B667" t="str">
            <v>DC</v>
          </cell>
        </row>
        <row r="668">
          <cell r="A668" t="str">
            <v>Loan Contact Zip Code</v>
          </cell>
          <cell r="B668">
            <v>202020000</v>
          </cell>
        </row>
        <row r="669">
          <cell r="A669" t="str">
            <v>Loan Contact Phone Number</v>
          </cell>
        </row>
        <row r="670">
          <cell r="A670" t="str">
            <v>Loan Contact Phone Extension</v>
          </cell>
        </row>
        <row r="671">
          <cell r="A671" t="str">
            <v>Loan Contact Email Address</v>
          </cell>
        </row>
        <row r="672">
          <cell r="A672" t="str">
            <v>Loan Contact Web Site Address</v>
          </cell>
        </row>
        <row r="673">
          <cell r="A673" t="str">
            <v>Loan Contact Type</v>
          </cell>
          <cell r="B673" t="str">
            <v>Current ED Servicer</v>
          </cell>
        </row>
        <row r="674">
          <cell r="A674" t="str">
            <v>Loan Contact Name</v>
          </cell>
          <cell r="B674" t="str">
            <v>DEPT OF ED/NAVIENT</v>
          </cell>
        </row>
        <row r="675">
          <cell r="A675" t="str">
            <v>Loan Contact Street Address 1</v>
          </cell>
          <cell r="B675" t="str">
            <v>PO BOX 740351</v>
          </cell>
        </row>
        <row r="676">
          <cell r="A676" t="str">
            <v>Loan Contact Street Address 2</v>
          </cell>
        </row>
        <row r="677">
          <cell r="A677" t="str">
            <v>Loan Contact City</v>
          </cell>
          <cell r="B677" t="str">
            <v>ATLANTA</v>
          </cell>
        </row>
        <row r="678">
          <cell r="A678" t="str">
            <v>Loan Contact State Code</v>
          </cell>
          <cell r="B678" t="str">
            <v>GA</v>
          </cell>
        </row>
        <row r="679">
          <cell r="A679" t="str">
            <v>Loan Contact Zip Code</v>
          </cell>
          <cell r="B679">
            <v>30348</v>
          </cell>
        </row>
        <row r="680">
          <cell r="A680" t="str">
            <v>Loan Contact Phone Number</v>
          </cell>
          <cell r="B680" t="str">
            <v>800-722-1300</v>
          </cell>
        </row>
        <row r="681">
          <cell r="A681" t="str">
            <v>Loan Contact Phone Extension</v>
          </cell>
        </row>
        <row r="682">
          <cell r="A682" t="str">
            <v>Loan Contact Email Address</v>
          </cell>
        </row>
        <row r="683">
          <cell r="A683" t="str">
            <v>Loan Contact Web Site Address</v>
          </cell>
          <cell r="B683" t="str">
            <v>www.navient.com</v>
          </cell>
        </row>
        <row r="684">
          <cell r="A684" t="str">
            <v>Loan Type</v>
          </cell>
          <cell r="B684" t="str">
            <v>FFEL PLUS GRADUATE</v>
          </cell>
        </row>
        <row r="685">
          <cell r="A685" t="str">
            <v>Loan Award ID</v>
          </cell>
          <cell r="B685" t="str">
            <v>*****9785510022444001</v>
          </cell>
        </row>
        <row r="686">
          <cell r="A686" t="str">
            <v>Loan Attending School Name</v>
          </cell>
          <cell r="B686" t="str">
            <v>AMERICAN UNIVERSITY OF THE CARIBBEAN</v>
          </cell>
        </row>
        <row r="687">
          <cell r="A687" t="str">
            <v>Loan Attending School OPEID</v>
          </cell>
          <cell r="B687">
            <v>2244400</v>
          </cell>
        </row>
        <row r="688">
          <cell r="A688" t="str">
            <v>Loan Date</v>
          </cell>
          <cell r="B688">
            <v>40182</v>
          </cell>
        </row>
        <row r="689">
          <cell r="A689" t="str">
            <v>Loan Repayment Begin Date</v>
          </cell>
          <cell r="B689">
            <v>40184</v>
          </cell>
        </row>
        <row r="690">
          <cell r="A690" t="str">
            <v>Loan Period Begin Date</v>
          </cell>
          <cell r="B690">
            <v>40183</v>
          </cell>
        </row>
        <row r="691">
          <cell r="A691" t="str">
            <v>Loan Period End Date</v>
          </cell>
          <cell r="B691">
            <v>40292</v>
          </cell>
        </row>
        <row r="692">
          <cell r="A692" t="str">
            <v>Loan Amount</v>
          </cell>
          <cell r="B692">
            <v>22350</v>
          </cell>
        </row>
        <row r="693">
          <cell r="A693" t="str">
            <v>Loan Disbursed Amount</v>
          </cell>
          <cell r="B693">
            <v>22350</v>
          </cell>
        </row>
        <row r="694">
          <cell r="A694" t="str">
            <v>Loan Canceled Amount</v>
          </cell>
          <cell r="B694">
            <v>0</v>
          </cell>
        </row>
        <row r="695">
          <cell r="A695" t="str">
            <v>Loan Canceled Date</v>
          </cell>
        </row>
        <row r="696">
          <cell r="A696" t="str">
            <v>Loan Outstanding Principal Balance</v>
          </cell>
          <cell r="B696">
            <v>22350</v>
          </cell>
        </row>
        <row r="697">
          <cell r="A697" t="str">
            <v>Loan Outstanding Principal Balance as of Date</v>
          </cell>
          <cell r="B697">
            <v>42310</v>
          </cell>
        </row>
        <row r="698">
          <cell r="A698" t="str">
            <v>Loan Outstanding Interest Balance</v>
          </cell>
          <cell r="B698">
            <v>11052</v>
          </cell>
        </row>
        <row r="699">
          <cell r="A699" t="str">
            <v>Loan Outstanding Interest Balance as of Date</v>
          </cell>
          <cell r="B699">
            <v>42310</v>
          </cell>
        </row>
        <row r="700">
          <cell r="A700" t="str">
            <v>Loan Interest Rate Type</v>
          </cell>
          <cell r="B700" t="str">
            <v>FIXED</v>
          </cell>
        </row>
        <row r="701">
          <cell r="A701" t="str">
            <v>Loan Interest Rate</v>
          </cell>
          <cell r="B701">
            <v>8.5000000000000006E-2</v>
          </cell>
        </row>
        <row r="702">
          <cell r="A702" t="str">
            <v>Loan Repayment Plan Begin Date</v>
          </cell>
          <cell r="B702">
            <v>40945</v>
          </cell>
        </row>
        <row r="703">
          <cell r="A703" t="str">
            <v>Loan Repayment Plan Scheduled Amount</v>
          </cell>
          <cell r="B703">
            <v>381</v>
          </cell>
        </row>
        <row r="704">
          <cell r="A704" t="str">
            <v>Loan Confirmed Subsidy Status</v>
          </cell>
        </row>
        <row r="705">
          <cell r="A705" t="str">
            <v>Loan Subsidized Usage in Years</v>
          </cell>
        </row>
        <row r="706">
          <cell r="A706" t="str">
            <v>Loan Reaffirmation Date</v>
          </cell>
        </row>
        <row r="707">
          <cell r="A707" t="str">
            <v>Loan Status</v>
          </cell>
          <cell r="B707" t="str">
            <v>DA</v>
          </cell>
        </row>
        <row r="708">
          <cell r="A708" t="str">
            <v>Loan Status Description</v>
          </cell>
          <cell r="B708" t="str">
            <v>DEFERRED</v>
          </cell>
        </row>
        <row r="709">
          <cell r="A709" t="str">
            <v>Loan Status Effective Date</v>
          </cell>
          <cell r="B709">
            <v>41821</v>
          </cell>
        </row>
        <row r="710">
          <cell r="A710" t="str">
            <v>Loan Status</v>
          </cell>
          <cell r="B710" t="str">
            <v>RP</v>
          </cell>
        </row>
        <row r="711">
          <cell r="A711" t="str">
            <v>Loan Status Description</v>
          </cell>
          <cell r="B711" t="str">
            <v>IN REPAYMENT</v>
          </cell>
        </row>
        <row r="712">
          <cell r="A712" t="str">
            <v>Loan Status Effective Date</v>
          </cell>
          <cell r="B712">
            <v>41813</v>
          </cell>
        </row>
        <row r="713">
          <cell r="A713" t="str">
            <v>Loan Status</v>
          </cell>
          <cell r="B713" t="str">
            <v>FB</v>
          </cell>
        </row>
        <row r="714">
          <cell r="A714" t="str">
            <v>Loan Status Description</v>
          </cell>
          <cell r="B714" t="str">
            <v>FORBEARANCE</v>
          </cell>
        </row>
        <row r="715">
          <cell r="A715" t="str">
            <v>Loan Status Effective Date</v>
          </cell>
          <cell r="B715">
            <v>41543</v>
          </cell>
        </row>
        <row r="716">
          <cell r="A716" t="str">
            <v>Loan Status</v>
          </cell>
          <cell r="B716" t="str">
            <v>RP</v>
          </cell>
        </row>
        <row r="717">
          <cell r="A717" t="str">
            <v>Loan Status Description</v>
          </cell>
          <cell r="B717" t="str">
            <v>IN REPAYMENT</v>
          </cell>
        </row>
        <row r="718">
          <cell r="A718" t="str">
            <v>Loan Status Effective Date</v>
          </cell>
          <cell r="B718">
            <v>41150</v>
          </cell>
        </row>
        <row r="719">
          <cell r="A719" t="str">
            <v>Loan Status</v>
          </cell>
          <cell r="B719" t="str">
            <v>FB</v>
          </cell>
        </row>
        <row r="720">
          <cell r="A720" t="str">
            <v>Loan Status Description</v>
          </cell>
          <cell r="B720" t="str">
            <v>FORBEARANCE</v>
          </cell>
        </row>
        <row r="721">
          <cell r="A721" t="str">
            <v>Loan Status Effective Date</v>
          </cell>
          <cell r="B721">
            <v>40812</v>
          </cell>
        </row>
        <row r="722">
          <cell r="A722" t="str">
            <v>Loan Status</v>
          </cell>
          <cell r="B722" t="str">
            <v>DA</v>
          </cell>
        </row>
        <row r="723">
          <cell r="A723" t="str">
            <v>Loan Status Description</v>
          </cell>
          <cell r="B723" t="str">
            <v>DEFERRED</v>
          </cell>
        </row>
        <row r="724">
          <cell r="A724" t="str">
            <v>Loan Status Effective Date</v>
          </cell>
          <cell r="B724">
            <v>40628</v>
          </cell>
        </row>
        <row r="725">
          <cell r="A725" t="str">
            <v>Loan Status</v>
          </cell>
          <cell r="B725" t="str">
            <v>DA</v>
          </cell>
        </row>
        <row r="726">
          <cell r="A726" t="str">
            <v>Loan Status Description</v>
          </cell>
          <cell r="B726" t="str">
            <v>DEFERRED</v>
          </cell>
        </row>
        <row r="727">
          <cell r="A727" t="str">
            <v>Loan Status Effective Date</v>
          </cell>
          <cell r="B727">
            <v>40463</v>
          </cell>
        </row>
        <row r="728">
          <cell r="A728" t="str">
            <v>Loan Disbursement Date</v>
          </cell>
          <cell r="B728">
            <v>40184</v>
          </cell>
        </row>
        <row r="729">
          <cell r="A729" t="str">
            <v>Loan Disbursement Amount</v>
          </cell>
          <cell r="B729">
            <v>22350</v>
          </cell>
        </row>
        <row r="730">
          <cell r="A730" t="str">
            <v>Loan Contact Type</v>
          </cell>
          <cell r="B730" t="str">
            <v>Current Servicer</v>
          </cell>
        </row>
        <row r="731">
          <cell r="A731" t="str">
            <v>Loan Contact Name</v>
          </cell>
          <cell r="B731" t="str">
            <v>DEPT OF ED/NAVIENT</v>
          </cell>
        </row>
        <row r="732">
          <cell r="A732" t="str">
            <v>Loan Contact Street Address 1</v>
          </cell>
          <cell r="B732" t="str">
            <v>P.O. BOX 9635</v>
          </cell>
        </row>
        <row r="733">
          <cell r="A733" t="str">
            <v>Loan Contact Street Address 2</v>
          </cell>
        </row>
        <row r="734">
          <cell r="A734" t="str">
            <v>Loan Contact City</v>
          </cell>
          <cell r="B734" t="str">
            <v>WILKES-BARRE</v>
          </cell>
        </row>
        <row r="735">
          <cell r="A735" t="str">
            <v>Loan Contact State Code</v>
          </cell>
          <cell r="B735" t="str">
            <v>PA</v>
          </cell>
        </row>
        <row r="736">
          <cell r="A736" t="str">
            <v>Loan Contact Zip Code</v>
          </cell>
          <cell r="B736">
            <v>187739635</v>
          </cell>
        </row>
        <row r="737">
          <cell r="A737" t="str">
            <v>Loan Contact Phone Number</v>
          </cell>
          <cell r="B737" t="str">
            <v>800-722-1300</v>
          </cell>
        </row>
        <row r="738">
          <cell r="A738" t="str">
            <v>Loan Contact Phone Extension</v>
          </cell>
        </row>
        <row r="739">
          <cell r="A739" t="str">
            <v>Loan Contact Email Address</v>
          </cell>
        </row>
        <row r="740">
          <cell r="A740" t="str">
            <v>Loan Contact Web Site Address</v>
          </cell>
          <cell r="B740" t="str">
            <v>www.salliemae.com</v>
          </cell>
        </row>
        <row r="741">
          <cell r="A741" t="str">
            <v>Loan Contact Type</v>
          </cell>
          <cell r="B741" t="str">
            <v>Current Lender</v>
          </cell>
        </row>
        <row r="742">
          <cell r="A742" t="str">
            <v>Loan Contact Name</v>
          </cell>
          <cell r="B742" t="str">
            <v>U.S. DEPT OF EDUCATION/2009-2010 LPCP</v>
          </cell>
        </row>
        <row r="743">
          <cell r="A743" t="str">
            <v>Loan Contact Street Address 1</v>
          </cell>
          <cell r="B743" t="str">
            <v>830 FIRST ST. NE</v>
          </cell>
        </row>
        <row r="744">
          <cell r="A744" t="str">
            <v>Loan Contact Street Address 2</v>
          </cell>
        </row>
        <row r="745">
          <cell r="A745" t="str">
            <v>Loan Contact City</v>
          </cell>
          <cell r="B745" t="str">
            <v>WASHINGTON</v>
          </cell>
        </row>
        <row r="746">
          <cell r="A746" t="str">
            <v>Loan Contact State Code</v>
          </cell>
          <cell r="B746" t="str">
            <v>DC</v>
          </cell>
        </row>
        <row r="747">
          <cell r="A747" t="str">
            <v>Loan Contact Zip Code</v>
          </cell>
          <cell r="B747">
            <v>202020000</v>
          </cell>
        </row>
        <row r="748">
          <cell r="A748" t="str">
            <v>Loan Contact Phone Number</v>
          </cell>
        </row>
        <row r="749">
          <cell r="A749" t="str">
            <v>Loan Contact Phone Extension</v>
          </cell>
        </row>
        <row r="750">
          <cell r="A750" t="str">
            <v>Loan Contact Email Address</v>
          </cell>
        </row>
        <row r="751">
          <cell r="A751" t="str">
            <v>Loan Contact Web Site Address</v>
          </cell>
        </row>
        <row r="752">
          <cell r="A752" t="str">
            <v>Loan Contact Type</v>
          </cell>
          <cell r="B752" t="str">
            <v>Current ED Servicer</v>
          </cell>
        </row>
        <row r="753">
          <cell r="A753" t="str">
            <v>Loan Contact Name</v>
          </cell>
          <cell r="B753" t="str">
            <v>DEPT OF ED/NAVIENT</v>
          </cell>
        </row>
        <row r="754">
          <cell r="A754" t="str">
            <v>Loan Contact Street Address 1</v>
          </cell>
          <cell r="B754" t="str">
            <v>PO BOX 740351</v>
          </cell>
        </row>
        <row r="755">
          <cell r="A755" t="str">
            <v>Loan Contact Street Address 2</v>
          </cell>
        </row>
        <row r="756">
          <cell r="A756" t="str">
            <v>Loan Contact City</v>
          </cell>
          <cell r="B756" t="str">
            <v>ATLANTA</v>
          </cell>
        </row>
        <row r="757">
          <cell r="A757" t="str">
            <v>Loan Contact State Code</v>
          </cell>
          <cell r="B757" t="str">
            <v>GA</v>
          </cell>
        </row>
        <row r="758">
          <cell r="A758" t="str">
            <v>Loan Contact Zip Code</v>
          </cell>
          <cell r="B758">
            <v>30348</v>
          </cell>
        </row>
        <row r="759">
          <cell r="A759" t="str">
            <v>Loan Contact Phone Number</v>
          </cell>
          <cell r="B759" t="str">
            <v>800-722-1300</v>
          </cell>
        </row>
        <row r="760">
          <cell r="A760" t="str">
            <v>Loan Contact Phone Extension</v>
          </cell>
        </row>
        <row r="761">
          <cell r="A761" t="str">
            <v>Loan Contact Email Address</v>
          </cell>
        </row>
        <row r="762">
          <cell r="A762" t="str">
            <v>Loan Contact Web Site Address</v>
          </cell>
          <cell r="B762" t="str">
            <v>www.navient.com</v>
          </cell>
        </row>
        <row r="763">
          <cell r="A763" t="str">
            <v>Loan Type</v>
          </cell>
          <cell r="B763" t="str">
            <v>STAFFORD UNSUBSIDIZED</v>
          </cell>
        </row>
        <row r="764">
          <cell r="A764" t="str">
            <v>Loan Award ID</v>
          </cell>
          <cell r="B764" t="str">
            <v>*****9785209022444003</v>
          </cell>
        </row>
        <row r="765">
          <cell r="A765" t="str">
            <v>Loan Attending School Name</v>
          </cell>
          <cell r="B765" t="str">
            <v>AMERICAN UNIVERSITY OF THE CARIBBEAN</v>
          </cell>
        </row>
        <row r="766">
          <cell r="A766" t="str">
            <v>Loan Attending School OPEID</v>
          </cell>
          <cell r="B766">
            <v>2244400</v>
          </cell>
        </row>
        <row r="767">
          <cell r="A767" t="str">
            <v>Loan Date</v>
          </cell>
          <cell r="B767">
            <v>39924</v>
          </cell>
        </row>
        <row r="768">
          <cell r="A768" t="str">
            <v>Loan Repayment Begin Date</v>
          </cell>
          <cell r="B768">
            <v>40812</v>
          </cell>
        </row>
        <row r="769">
          <cell r="A769" t="str">
            <v>Loan Period Begin Date</v>
          </cell>
          <cell r="B769">
            <v>39939</v>
          </cell>
        </row>
        <row r="770">
          <cell r="A770" t="str">
            <v>Loan Period End Date</v>
          </cell>
          <cell r="B770">
            <v>40167</v>
          </cell>
        </row>
        <row r="771">
          <cell r="A771" t="str">
            <v>Loan Amount</v>
          </cell>
          <cell r="B771">
            <v>12000</v>
          </cell>
        </row>
        <row r="772">
          <cell r="A772" t="str">
            <v>Loan Disbursed Amount</v>
          </cell>
          <cell r="B772">
            <v>12000</v>
          </cell>
        </row>
        <row r="773">
          <cell r="A773" t="str">
            <v>Loan Canceled Amount</v>
          </cell>
          <cell r="B773">
            <v>0</v>
          </cell>
        </row>
        <row r="774">
          <cell r="A774" t="str">
            <v>Loan Canceled Date</v>
          </cell>
        </row>
        <row r="775">
          <cell r="A775" t="str">
            <v>Loan Outstanding Principal Balance</v>
          </cell>
          <cell r="B775">
            <v>13823</v>
          </cell>
        </row>
        <row r="776">
          <cell r="A776" t="str">
            <v>Loan Outstanding Principal Balance as of Date</v>
          </cell>
          <cell r="B776">
            <v>42310</v>
          </cell>
        </row>
        <row r="777">
          <cell r="A777" t="str">
            <v>Loan Outstanding Interest Balance</v>
          </cell>
          <cell r="B777">
            <v>3852</v>
          </cell>
        </row>
        <row r="778">
          <cell r="A778" t="str">
            <v>Loan Outstanding Interest Balance as of Date</v>
          </cell>
          <cell r="B778">
            <v>42310</v>
          </cell>
        </row>
        <row r="779">
          <cell r="A779" t="str">
            <v>Loan Interest Rate Type</v>
          </cell>
          <cell r="B779" t="str">
            <v>FIXED</v>
          </cell>
        </row>
        <row r="780">
          <cell r="A780" t="str">
            <v>Loan Interest Rate</v>
          </cell>
          <cell r="B780">
            <v>6.8000000000000005E-2</v>
          </cell>
        </row>
        <row r="781">
          <cell r="A781" t="str">
            <v>Loan Repayment Plan Begin Date</v>
          </cell>
          <cell r="B781">
            <v>40766</v>
          </cell>
        </row>
        <row r="782">
          <cell r="A782" t="str">
            <v>Loan Repayment Plan Scheduled Amount</v>
          </cell>
          <cell r="B782">
            <v>188</v>
          </cell>
        </row>
        <row r="783">
          <cell r="A783" t="str">
            <v>Loan Confirmed Subsidy Status</v>
          </cell>
        </row>
        <row r="784">
          <cell r="A784" t="str">
            <v>Loan Subsidized Usage in Years</v>
          </cell>
        </row>
        <row r="785">
          <cell r="A785" t="str">
            <v>Loan Reaffirmation Date</v>
          </cell>
        </row>
        <row r="786">
          <cell r="A786" t="str">
            <v>Loan Status</v>
          </cell>
          <cell r="B786" t="str">
            <v>DA</v>
          </cell>
        </row>
        <row r="787">
          <cell r="A787" t="str">
            <v>Loan Status Description</v>
          </cell>
          <cell r="B787" t="str">
            <v>DEFERRED</v>
          </cell>
        </row>
        <row r="788">
          <cell r="A788" t="str">
            <v>Loan Status Effective Date</v>
          </cell>
          <cell r="B788">
            <v>41821</v>
          </cell>
        </row>
        <row r="789">
          <cell r="A789" t="str">
            <v>Loan Status</v>
          </cell>
          <cell r="B789" t="str">
            <v>FB</v>
          </cell>
        </row>
        <row r="790">
          <cell r="A790" t="str">
            <v>Loan Status Description</v>
          </cell>
          <cell r="B790" t="str">
            <v>FORBEARANCE</v>
          </cell>
        </row>
        <row r="791">
          <cell r="A791" t="str">
            <v>Loan Status Effective Date</v>
          </cell>
          <cell r="B791">
            <v>41813</v>
          </cell>
        </row>
        <row r="792">
          <cell r="A792" t="str">
            <v>Loan Status</v>
          </cell>
          <cell r="B792" t="str">
            <v>FB</v>
          </cell>
        </row>
        <row r="793">
          <cell r="A793" t="str">
            <v>Loan Status Description</v>
          </cell>
          <cell r="B793" t="str">
            <v>FORBEARANCE</v>
          </cell>
        </row>
        <row r="794">
          <cell r="A794" t="str">
            <v>Loan Status Effective Date</v>
          </cell>
          <cell r="B794">
            <v>41543</v>
          </cell>
        </row>
        <row r="795">
          <cell r="A795" t="str">
            <v>Loan Status</v>
          </cell>
          <cell r="B795" t="str">
            <v>FB</v>
          </cell>
        </row>
        <row r="796">
          <cell r="A796" t="str">
            <v>Loan Status Description</v>
          </cell>
          <cell r="B796" t="str">
            <v>FORBEARANCE</v>
          </cell>
        </row>
        <row r="797">
          <cell r="A797" t="str">
            <v>Loan Status Effective Date</v>
          </cell>
          <cell r="B797">
            <v>41178</v>
          </cell>
        </row>
        <row r="798">
          <cell r="A798" t="str">
            <v>Loan Status</v>
          </cell>
          <cell r="B798" t="str">
            <v>FB</v>
          </cell>
        </row>
        <row r="799">
          <cell r="A799" t="str">
            <v>Loan Status Description</v>
          </cell>
          <cell r="B799" t="str">
            <v>FORBEARANCE</v>
          </cell>
        </row>
        <row r="800">
          <cell r="A800" t="str">
            <v>Loan Status Effective Date</v>
          </cell>
          <cell r="B800">
            <v>40812</v>
          </cell>
        </row>
        <row r="801">
          <cell r="A801" t="str">
            <v>Loan Status</v>
          </cell>
          <cell r="B801" t="str">
            <v>IG</v>
          </cell>
        </row>
        <row r="802">
          <cell r="A802" t="str">
            <v>Loan Status Description</v>
          </cell>
          <cell r="B802" t="str">
            <v>IN GRACE PERIOD</v>
          </cell>
        </row>
        <row r="803">
          <cell r="A803" t="str">
            <v>Loan Status Effective Date</v>
          </cell>
          <cell r="B803">
            <v>40628</v>
          </cell>
        </row>
        <row r="804">
          <cell r="A804" t="str">
            <v>Loan Status</v>
          </cell>
          <cell r="B804" t="str">
            <v>IA</v>
          </cell>
        </row>
        <row r="805">
          <cell r="A805" t="str">
            <v>Loan Status Description</v>
          </cell>
          <cell r="B805" t="str">
            <v>LOAN ORIGINATED</v>
          </cell>
        </row>
        <row r="806">
          <cell r="A806" t="str">
            <v>Loan Status Effective Date</v>
          </cell>
          <cell r="B806">
            <v>39924</v>
          </cell>
        </row>
        <row r="807">
          <cell r="A807" t="str">
            <v>Loan Disbursement Date</v>
          </cell>
          <cell r="B807">
            <v>40059</v>
          </cell>
        </row>
        <row r="808">
          <cell r="A808" t="str">
            <v>Loan Disbursement Amount</v>
          </cell>
          <cell r="B808">
            <v>6000</v>
          </cell>
        </row>
        <row r="809">
          <cell r="A809" t="str">
            <v>Loan Disbursement Date</v>
          </cell>
          <cell r="B809">
            <v>39933</v>
          </cell>
        </row>
        <row r="810">
          <cell r="A810" t="str">
            <v>Loan Disbursement Amount</v>
          </cell>
          <cell r="B810">
            <v>6000</v>
          </cell>
        </row>
        <row r="811">
          <cell r="A811" t="str">
            <v>Loan Contact Type</v>
          </cell>
          <cell r="B811" t="str">
            <v>Current Servicer</v>
          </cell>
        </row>
        <row r="812">
          <cell r="A812" t="str">
            <v>Loan Contact Name</v>
          </cell>
          <cell r="B812" t="str">
            <v>DEPT OF ED/NAVIENT</v>
          </cell>
        </row>
        <row r="813">
          <cell r="A813" t="str">
            <v>Loan Contact Street Address 1</v>
          </cell>
          <cell r="B813" t="str">
            <v>P.O. BOX 9635</v>
          </cell>
        </row>
        <row r="814">
          <cell r="A814" t="str">
            <v>Loan Contact Street Address 2</v>
          </cell>
        </row>
        <row r="815">
          <cell r="A815" t="str">
            <v>Loan Contact City</v>
          </cell>
          <cell r="B815" t="str">
            <v>WILKES-BARRE</v>
          </cell>
        </row>
        <row r="816">
          <cell r="A816" t="str">
            <v>Loan Contact State Code</v>
          </cell>
          <cell r="B816" t="str">
            <v>PA</v>
          </cell>
        </row>
        <row r="817">
          <cell r="A817" t="str">
            <v>Loan Contact Zip Code</v>
          </cell>
          <cell r="B817">
            <v>187739635</v>
          </cell>
        </row>
        <row r="818">
          <cell r="A818" t="str">
            <v>Loan Contact Phone Number</v>
          </cell>
          <cell r="B818" t="str">
            <v>800-722-1300</v>
          </cell>
        </row>
        <row r="819">
          <cell r="A819" t="str">
            <v>Loan Contact Phone Extension</v>
          </cell>
        </row>
        <row r="820">
          <cell r="A820" t="str">
            <v>Loan Contact Email Address</v>
          </cell>
        </row>
        <row r="821">
          <cell r="A821" t="str">
            <v>Loan Contact Web Site Address</v>
          </cell>
          <cell r="B821" t="str">
            <v>www.salliemae.com</v>
          </cell>
        </row>
        <row r="822">
          <cell r="A822" t="str">
            <v>Loan Contact Type</v>
          </cell>
          <cell r="B822" t="str">
            <v>Current Lender</v>
          </cell>
        </row>
        <row r="823">
          <cell r="A823" t="str">
            <v>Loan Contact Name</v>
          </cell>
          <cell r="B823" t="str">
            <v>U.S. DEPT OF ED/2008-2009 LPCP</v>
          </cell>
        </row>
        <row r="824">
          <cell r="A824" t="str">
            <v>Loan Contact Street Address 1</v>
          </cell>
          <cell r="B824" t="str">
            <v>830 FIRST ST., NE</v>
          </cell>
        </row>
        <row r="825">
          <cell r="A825" t="str">
            <v>Loan Contact Street Address 2</v>
          </cell>
        </row>
        <row r="826">
          <cell r="A826" t="str">
            <v>Loan Contact City</v>
          </cell>
          <cell r="B826" t="str">
            <v>WASHINGTON</v>
          </cell>
        </row>
        <row r="827">
          <cell r="A827" t="str">
            <v>Loan Contact State Code</v>
          </cell>
          <cell r="B827" t="str">
            <v>DC</v>
          </cell>
        </row>
        <row r="828">
          <cell r="A828" t="str">
            <v>Loan Contact Zip Code</v>
          </cell>
          <cell r="B828">
            <v>202020000</v>
          </cell>
        </row>
        <row r="829">
          <cell r="A829" t="str">
            <v>Loan Contact Phone Number</v>
          </cell>
        </row>
        <row r="830">
          <cell r="A830" t="str">
            <v>Loan Contact Phone Extension</v>
          </cell>
        </row>
        <row r="831">
          <cell r="A831" t="str">
            <v>Loan Contact Email Address</v>
          </cell>
        </row>
        <row r="832">
          <cell r="A832" t="str">
            <v>Loan Contact Web Site Address</v>
          </cell>
        </row>
        <row r="833">
          <cell r="A833" t="str">
            <v>Loan Contact Type</v>
          </cell>
          <cell r="B833" t="str">
            <v>Current ED Servicer</v>
          </cell>
        </row>
        <row r="834">
          <cell r="A834" t="str">
            <v>Loan Contact Name</v>
          </cell>
          <cell r="B834" t="str">
            <v>DEPT OF ED/NAVIENT</v>
          </cell>
        </row>
        <row r="835">
          <cell r="A835" t="str">
            <v>Loan Contact Street Address 1</v>
          </cell>
          <cell r="B835" t="str">
            <v>PO BOX 740351</v>
          </cell>
        </row>
        <row r="836">
          <cell r="A836" t="str">
            <v>Loan Contact Street Address 2</v>
          </cell>
        </row>
        <row r="837">
          <cell r="A837" t="str">
            <v>Loan Contact City</v>
          </cell>
          <cell r="B837" t="str">
            <v>ATLANTA</v>
          </cell>
        </row>
        <row r="838">
          <cell r="A838" t="str">
            <v>Loan Contact State Code</v>
          </cell>
          <cell r="B838" t="str">
            <v>GA</v>
          </cell>
        </row>
        <row r="839">
          <cell r="A839" t="str">
            <v>Loan Contact Zip Code</v>
          </cell>
          <cell r="B839">
            <v>30348</v>
          </cell>
        </row>
        <row r="840">
          <cell r="A840" t="str">
            <v>Loan Contact Phone Number</v>
          </cell>
          <cell r="B840" t="str">
            <v>800-722-1300</v>
          </cell>
        </row>
        <row r="841">
          <cell r="A841" t="str">
            <v>Loan Contact Phone Extension</v>
          </cell>
        </row>
        <row r="842">
          <cell r="A842" t="str">
            <v>Loan Contact Email Address</v>
          </cell>
        </row>
        <row r="843">
          <cell r="A843" t="str">
            <v>Loan Contact Web Site Address</v>
          </cell>
          <cell r="B843" t="str">
            <v>www.navient.com</v>
          </cell>
        </row>
        <row r="844">
          <cell r="A844" t="str">
            <v>Loan Type</v>
          </cell>
          <cell r="B844" t="str">
            <v>STAFFORD SUBSIDIZED</v>
          </cell>
        </row>
        <row r="845">
          <cell r="A845" t="str">
            <v>Loan Award ID</v>
          </cell>
          <cell r="B845" t="str">
            <v>*****9785109022444002</v>
          </cell>
        </row>
        <row r="846">
          <cell r="A846" t="str">
            <v>Loan Attending School Name</v>
          </cell>
          <cell r="B846" t="str">
            <v>AMERICAN UNIVERSITY OF THE CARIBBEAN</v>
          </cell>
        </row>
        <row r="847">
          <cell r="A847" t="str">
            <v>Loan Attending School OPEID</v>
          </cell>
          <cell r="B847">
            <v>2244400</v>
          </cell>
        </row>
        <row r="848">
          <cell r="A848" t="str">
            <v>Loan Date</v>
          </cell>
          <cell r="B848">
            <v>39924</v>
          </cell>
        </row>
        <row r="849">
          <cell r="A849" t="str">
            <v>Loan Repayment Begin Date</v>
          </cell>
          <cell r="B849">
            <v>40812</v>
          </cell>
        </row>
        <row r="850">
          <cell r="A850" t="str">
            <v>Loan Period Begin Date</v>
          </cell>
          <cell r="B850">
            <v>39939</v>
          </cell>
        </row>
        <row r="851">
          <cell r="A851" t="str">
            <v>Loan Period End Date</v>
          </cell>
          <cell r="B851">
            <v>40167</v>
          </cell>
        </row>
        <row r="852">
          <cell r="A852" t="str">
            <v>Loan Amount</v>
          </cell>
          <cell r="B852">
            <v>8500</v>
          </cell>
        </row>
        <row r="853">
          <cell r="A853" t="str">
            <v>Loan Disbursed Amount</v>
          </cell>
          <cell r="B853">
            <v>8500</v>
          </cell>
        </row>
        <row r="854">
          <cell r="A854" t="str">
            <v>Loan Canceled Amount</v>
          </cell>
          <cell r="B854">
            <v>0</v>
          </cell>
        </row>
        <row r="855">
          <cell r="A855" t="str">
            <v>Loan Canceled Date</v>
          </cell>
        </row>
        <row r="856">
          <cell r="A856" t="str">
            <v>Loan Outstanding Principal Balance</v>
          </cell>
          <cell r="B856">
            <v>10096</v>
          </cell>
        </row>
        <row r="857">
          <cell r="A857" t="str">
            <v>Loan Outstanding Principal Balance as of Date</v>
          </cell>
          <cell r="B857">
            <v>42310</v>
          </cell>
        </row>
        <row r="858">
          <cell r="A858" t="str">
            <v>Loan Outstanding Interest Balance</v>
          </cell>
          <cell r="B858">
            <v>0</v>
          </cell>
        </row>
        <row r="859">
          <cell r="A859" t="str">
            <v>Loan Outstanding Interest Balance as of Date</v>
          </cell>
          <cell r="B859">
            <v>42310</v>
          </cell>
        </row>
        <row r="860">
          <cell r="A860" t="str">
            <v>Loan Interest Rate Type</v>
          </cell>
          <cell r="B860" t="str">
            <v>FIXED</v>
          </cell>
        </row>
        <row r="861">
          <cell r="A861" t="str">
            <v>Loan Interest Rate</v>
          </cell>
          <cell r="B861">
            <v>6.8000000000000005E-2</v>
          </cell>
        </row>
        <row r="862">
          <cell r="A862" t="str">
            <v>Loan Repayment Plan Begin Date</v>
          </cell>
          <cell r="B862">
            <v>40766</v>
          </cell>
        </row>
        <row r="863">
          <cell r="A863" t="str">
            <v>Loan Repayment Plan Scheduled Amount</v>
          </cell>
          <cell r="B863">
            <v>115</v>
          </cell>
        </row>
        <row r="864">
          <cell r="A864" t="str">
            <v>Loan Confirmed Subsidy Status</v>
          </cell>
        </row>
        <row r="865">
          <cell r="A865" t="str">
            <v>Loan Subsidized Usage in Years</v>
          </cell>
        </row>
        <row r="866">
          <cell r="A866" t="str">
            <v>Loan Reaffirmation Date</v>
          </cell>
        </row>
        <row r="867">
          <cell r="A867" t="str">
            <v>Loan Status</v>
          </cell>
          <cell r="B867" t="str">
            <v>DA</v>
          </cell>
        </row>
        <row r="868">
          <cell r="A868" t="str">
            <v>Loan Status Description</v>
          </cell>
          <cell r="B868" t="str">
            <v>DEFERRED</v>
          </cell>
        </row>
        <row r="869">
          <cell r="A869" t="str">
            <v>Loan Status Effective Date</v>
          </cell>
          <cell r="B869">
            <v>41821</v>
          </cell>
        </row>
        <row r="870">
          <cell r="A870" t="str">
            <v>Loan Status</v>
          </cell>
          <cell r="B870" t="str">
            <v>FB</v>
          </cell>
        </row>
        <row r="871">
          <cell r="A871" t="str">
            <v>Loan Status Description</v>
          </cell>
          <cell r="B871" t="str">
            <v>FORBEARANCE</v>
          </cell>
        </row>
        <row r="872">
          <cell r="A872" t="str">
            <v>Loan Status Effective Date</v>
          </cell>
          <cell r="B872">
            <v>41813</v>
          </cell>
        </row>
        <row r="873">
          <cell r="A873" t="str">
            <v>Loan Status</v>
          </cell>
          <cell r="B873" t="str">
            <v>FB</v>
          </cell>
        </row>
        <row r="874">
          <cell r="A874" t="str">
            <v>Loan Status Description</v>
          </cell>
          <cell r="B874" t="str">
            <v>FORBEARANCE</v>
          </cell>
        </row>
        <row r="875">
          <cell r="A875" t="str">
            <v>Loan Status Effective Date</v>
          </cell>
          <cell r="B875">
            <v>41543</v>
          </cell>
        </row>
        <row r="876">
          <cell r="A876" t="str">
            <v>Loan Status</v>
          </cell>
          <cell r="B876" t="str">
            <v>FB</v>
          </cell>
        </row>
        <row r="877">
          <cell r="A877" t="str">
            <v>Loan Status Description</v>
          </cell>
          <cell r="B877" t="str">
            <v>FORBEARANCE</v>
          </cell>
        </row>
        <row r="878">
          <cell r="A878" t="str">
            <v>Loan Status Effective Date</v>
          </cell>
          <cell r="B878">
            <v>41178</v>
          </cell>
        </row>
        <row r="879">
          <cell r="A879" t="str">
            <v>Loan Status</v>
          </cell>
          <cell r="B879" t="str">
            <v>FB</v>
          </cell>
        </row>
        <row r="880">
          <cell r="A880" t="str">
            <v>Loan Status Description</v>
          </cell>
          <cell r="B880" t="str">
            <v>FORBEARANCE</v>
          </cell>
        </row>
        <row r="881">
          <cell r="A881" t="str">
            <v>Loan Status Effective Date</v>
          </cell>
          <cell r="B881">
            <v>40812</v>
          </cell>
        </row>
        <row r="882">
          <cell r="A882" t="str">
            <v>Loan Status</v>
          </cell>
          <cell r="B882" t="str">
            <v>IG</v>
          </cell>
        </row>
        <row r="883">
          <cell r="A883" t="str">
            <v>Loan Status Description</v>
          </cell>
          <cell r="B883" t="str">
            <v>IN GRACE PERIOD</v>
          </cell>
        </row>
        <row r="884">
          <cell r="A884" t="str">
            <v>Loan Status Effective Date</v>
          </cell>
          <cell r="B884">
            <v>40628</v>
          </cell>
        </row>
        <row r="885">
          <cell r="A885" t="str">
            <v>Loan Status</v>
          </cell>
          <cell r="B885" t="str">
            <v>IA</v>
          </cell>
        </row>
        <row r="886">
          <cell r="A886" t="str">
            <v>Loan Status Description</v>
          </cell>
          <cell r="B886" t="str">
            <v>LOAN ORIGINATED</v>
          </cell>
        </row>
        <row r="887">
          <cell r="A887" t="str">
            <v>Loan Status Effective Date</v>
          </cell>
          <cell r="B887">
            <v>39924</v>
          </cell>
        </row>
        <row r="888">
          <cell r="A888" t="str">
            <v>Loan Disbursement Date</v>
          </cell>
          <cell r="B888">
            <v>40059</v>
          </cell>
        </row>
        <row r="889">
          <cell r="A889" t="str">
            <v>Loan Disbursement Amount</v>
          </cell>
          <cell r="B889">
            <v>4250</v>
          </cell>
        </row>
        <row r="890">
          <cell r="A890" t="str">
            <v>Loan Disbursement Date</v>
          </cell>
          <cell r="B890">
            <v>39933</v>
          </cell>
        </row>
        <row r="891">
          <cell r="A891" t="str">
            <v>Loan Disbursement Amount</v>
          </cell>
          <cell r="B891">
            <v>4250</v>
          </cell>
        </row>
        <row r="892">
          <cell r="A892" t="str">
            <v>Loan Contact Type</v>
          </cell>
          <cell r="B892" t="str">
            <v>Current Servicer</v>
          </cell>
        </row>
        <row r="893">
          <cell r="A893" t="str">
            <v>Loan Contact Name</v>
          </cell>
          <cell r="B893" t="str">
            <v>DEPT OF ED/NAVIENT</v>
          </cell>
        </row>
        <row r="894">
          <cell r="A894" t="str">
            <v>Loan Contact Street Address 1</v>
          </cell>
          <cell r="B894" t="str">
            <v>P.O. BOX 9635</v>
          </cell>
        </row>
        <row r="895">
          <cell r="A895" t="str">
            <v>Loan Contact Street Address 2</v>
          </cell>
        </row>
        <row r="896">
          <cell r="A896" t="str">
            <v>Loan Contact City</v>
          </cell>
          <cell r="B896" t="str">
            <v>WILKES-BARRE</v>
          </cell>
        </row>
        <row r="897">
          <cell r="A897" t="str">
            <v>Loan Contact State Code</v>
          </cell>
          <cell r="B897" t="str">
            <v>PA</v>
          </cell>
        </row>
        <row r="898">
          <cell r="A898" t="str">
            <v>Loan Contact Zip Code</v>
          </cell>
          <cell r="B898">
            <v>187739635</v>
          </cell>
        </row>
        <row r="899">
          <cell r="A899" t="str">
            <v>Loan Contact Phone Number</v>
          </cell>
          <cell r="B899" t="str">
            <v>800-722-1300</v>
          </cell>
        </row>
        <row r="900">
          <cell r="A900" t="str">
            <v>Loan Contact Phone Extension</v>
          </cell>
        </row>
        <row r="901">
          <cell r="A901" t="str">
            <v>Loan Contact Email Address</v>
          </cell>
        </row>
        <row r="902">
          <cell r="A902" t="str">
            <v>Loan Contact Web Site Address</v>
          </cell>
          <cell r="B902" t="str">
            <v>www.salliemae.com</v>
          </cell>
        </row>
        <row r="903">
          <cell r="A903" t="str">
            <v>Loan Contact Type</v>
          </cell>
          <cell r="B903" t="str">
            <v>Current Lender</v>
          </cell>
        </row>
        <row r="904">
          <cell r="A904" t="str">
            <v>Loan Contact Name</v>
          </cell>
          <cell r="B904" t="str">
            <v>U.S. DEPT OF ED/2008-2009 LPCP</v>
          </cell>
        </row>
        <row r="905">
          <cell r="A905" t="str">
            <v>Loan Contact Street Address 1</v>
          </cell>
          <cell r="B905" t="str">
            <v>830 FIRST ST., NE</v>
          </cell>
        </row>
        <row r="906">
          <cell r="A906" t="str">
            <v>Loan Contact Street Address 2</v>
          </cell>
        </row>
        <row r="907">
          <cell r="A907" t="str">
            <v>Loan Contact City</v>
          </cell>
          <cell r="B907" t="str">
            <v>WASHINGTON</v>
          </cell>
        </row>
        <row r="908">
          <cell r="A908" t="str">
            <v>Loan Contact State Code</v>
          </cell>
          <cell r="B908" t="str">
            <v>DC</v>
          </cell>
        </row>
        <row r="909">
          <cell r="A909" t="str">
            <v>Loan Contact Zip Code</v>
          </cell>
          <cell r="B909">
            <v>202020000</v>
          </cell>
        </row>
        <row r="910">
          <cell r="A910" t="str">
            <v>Loan Contact Phone Number</v>
          </cell>
        </row>
        <row r="911">
          <cell r="A911" t="str">
            <v>Loan Contact Phone Extension</v>
          </cell>
        </row>
        <row r="912">
          <cell r="A912" t="str">
            <v>Loan Contact Email Address</v>
          </cell>
        </row>
        <row r="913">
          <cell r="A913" t="str">
            <v>Loan Contact Web Site Address</v>
          </cell>
        </row>
        <row r="914">
          <cell r="A914" t="str">
            <v>Loan Contact Type</v>
          </cell>
          <cell r="B914" t="str">
            <v>Current ED Servicer</v>
          </cell>
        </row>
        <row r="915">
          <cell r="A915" t="str">
            <v>Loan Contact Name</v>
          </cell>
          <cell r="B915" t="str">
            <v>DEPT OF ED/NAVIENT</v>
          </cell>
        </row>
        <row r="916">
          <cell r="A916" t="str">
            <v>Loan Contact Street Address 1</v>
          </cell>
          <cell r="B916" t="str">
            <v>PO BOX 740351</v>
          </cell>
        </row>
        <row r="917">
          <cell r="A917" t="str">
            <v>Loan Contact Street Address 2</v>
          </cell>
        </row>
        <row r="918">
          <cell r="A918" t="str">
            <v>Loan Contact City</v>
          </cell>
          <cell r="B918" t="str">
            <v>ATLANTA</v>
          </cell>
        </row>
        <row r="919">
          <cell r="A919" t="str">
            <v>Loan Contact State Code</v>
          </cell>
          <cell r="B919" t="str">
            <v>GA</v>
          </cell>
        </row>
        <row r="920">
          <cell r="A920" t="str">
            <v>Loan Contact Zip Code</v>
          </cell>
          <cell r="B920">
            <v>30348</v>
          </cell>
        </row>
        <row r="921">
          <cell r="A921" t="str">
            <v>Loan Contact Phone Number</v>
          </cell>
          <cell r="B921" t="str">
            <v>800-722-1300</v>
          </cell>
        </row>
        <row r="922">
          <cell r="A922" t="str">
            <v>Loan Contact Phone Extension</v>
          </cell>
        </row>
        <row r="923">
          <cell r="A923" t="str">
            <v>Loan Contact Email Address</v>
          </cell>
        </row>
        <row r="924">
          <cell r="A924" t="str">
            <v>Loan Contact Web Site Address</v>
          </cell>
          <cell r="B924" t="str">
            <v>www.navient.com</v>
          </cell>
        </row>
        <row r="925">
          <cell r="A925" t="str">
            <v>Loan Type</v>
          </cell>
          <cell r="B925" t="str">
            <v>FFEL PLUS GRADUATE</v>
          </cell>
        </row>
        <row r="926">
          <cell r="A926" t="str">
            <v>Loan Award ID</v>
          </cell>
          <cell r="B926" t="str">
            <v>*****9785509022444001</v>
          </cell>
        </row>
        <row r="927">
          <cell r="A927" t="str">
            <v>Loan Attending School Name</v>
          </cell>
          <cell r="B927" t="str">
            <v>AMERICAN UNIVERSITY OF THE CARIBBEAN</v>
          </cell>
        </row>
        <row r="928">
          <cell r="A928" t="str">
            <v>Loan Attending School OPEID</v>
          </cell>
          <cell r="B928">
            <v>2244400</v>
          </cell>
        </row>
        <row r="929">
          <cell r="A929" t="str">
            <v>Loan Date</v>
          </cell>
          <cell r="B929">
            <v>39924</v>
          </cell>
        </row>
        <row r="930">
          <cell r="A930" t="str">
            <v>Loan Repayment Begin Date</v>
          </cell>
          <cell r="B930">
            <v>40059</v>
          </cell>
        </row>
        <row r="931">
          <cell r="A931" t="str">
            <v>Loan Period Begin Date</v>
          </cell>
          <cell r="B931">
            <v>39939</v>
          </cell>
        </row>
        <row r="932">
          <cell r="A932" t="str">
            <v>Loan Period End Date</v>
          </cell>
          <cell r="B932">
            <v>40167</v>
          </cell>
        </row>
        <row r="933">
          <cell r="A933" t="str">
            <v>Loan Amount</v>
          </cell>
          <cell r="B933">
            <v>41150</v>
          </cell>
        </row>
        <row r="934">
          <cell r="A934" t="str">
            <v>Loan Disbursed Amount</v>
          </cell>
          <cell r="B934">
            <v>41150</v>
          </cell>
        </row>
        <row r="935">
          <cell r="A935" t="str">
            <v>Loan Canceled Amount</v>
          </cell>
          <cell r="B935">
            <v>0</v>
          </cell>
        </row>
        <row r="936">
          <cell r="A936" t="str">
            <v>Loan Canceled Date</v>
          </cell>
        </row>
        <row r="937">
          <cell r="A937" t="str">
            <v>Loan Outstanding Principal Balance</v>
          </cell>
          <cell r="B937">
            <v>41150</v>
          </cell>
        </row>
        <row r="938">
          <cell r="A938" t="str">
            <v>Loan Outstanding Principal Balance as of Date</v>
          </cell>
          <cell r="B938">
            <v>42310</v>
          </cell>
        </row>
        <row r="939">
          <cell r="A939" t="str">
            <v>Loan Outstanding Interest Balance</v>
          </cell>
          <cell r="B939">
            <v>22150</v>
          </cell>
        </row>
        <row r="940">
          <cell r="A940" t="str">
            <v>Loan Outstanding Interest Balance as of Date</v>
          </cell>
          <cell r="B940">
            <v>42310</v>
          </cell>
        </row>
        <row r="941">
          <cell r="A941" t="str">
            <v>Loan Interest Rate Type</v>
          </cell>
          <cell r="B941" t="str">
            <v>FIXED</v>
          </cell>
        </row>
        <row r="942">
          <cell r="A942" t="str">
            <v>Loan Interest Rate</v>
          </cell>
          <cell r="B942">
            <v>8.5000000000000006E-2</v>
          </cell>
        </row>
        <row r="943">
          <cell r="A943" t="str">
            <v>Loan Repayment Plan Begin Date</v>
          </cell>
          <cell r="B943">
            <v>41159</v>
          </cell>
        </row>
        <row r="944">
          <cell r="A944" t="str">
            <v>Loan Repayment Plan Scheduled Amount</v>
          </cell>
          <cell r="B944">
            <v>724</v>
          </cell>
        </row>
        <row r="945">
          <cell r="A945" t="str">
            <v>Loan Confirmed Subsidy Status</v>
          </cell>
        </row>
        <row r="946">
          <cell r="A946" t="str">
            <v>Loan Subsidized Usage in Years</v>
          </cell>
        </row>
        <row r="947">
          <cell r="A947" t="str">
            <v>Loan Reaffirmation Date</v>
          </cell>
        </row>
        <row r="948">
          <cell r="A948" t="str">
            <v>Loan Status</v>
          </cell>
          <cell r="B948" t="str">
            <v>DA</v>
          </cell>
        </row>
        <row r="949">
          <cell r="A949" t="str">
            <v>Loan Status Description</v>
          </cell>
          <cell r="B949" t="str">
            <v>DEFERRED</v>
          </cell>
        </row>
        <row r="950">
          <cell r="A950" t="str">
            <v>Loan Status Effective Date</v>
          </cell>
          <cell r="B950">
            <v>41821</v>
          </cell>
        </row>
        <row r="951">
          <cell r="A951" t="str">
            <v>Loan Status</v>
          </cell>
          <cell r="B951" t="str">
            <v>RP</v>
          </cell>
        </row>
        <row r="952">
          <cell r="A952" t="str">
            <v>Loan Status Description</v>
          </cell>
          <cell r="B952" t="str">
            <v>IN REPAYMENT</v>
          </cell>
        </row>
        <row r="953">
          <cell r="A953" t="str">
            <v>Loan Status Effective Date</v>
          </cell>
          <cell r="B953">
            <v>41813</v>
          </cell>
        </row>
        <row r="954">
          <cell r="A954" t="str">
            <v>Loan Status</v>
          </cell>
          <cell r="B954" t="str">
            <v>FB</v>
          </cell>
        </row>
        <row r="955">
          <cell r="A955" t="str">
            <v>Loan Status Description</v>
          </cell>
          <cell r="B955" t="str">
            <v>FORBEARANCE</v>
          </cell>
        </row>
        <row r="956">
          <cell r="A956" t="str">
            <v>Loan Status Effective Date</v>
          </cell>
          <cell r="B956">
            <v>41543</v>
          </cell>
        </row>
        <row r="957">
          <cell r="A957" t="str">
            <v>Loan Status</v>
          </cell>
          <cell r="B957" t="str">
            <v>RP</v>
          </cell>
        </row>
        <row r="958">
          <cell r="A958" t="str">
            <v>Loan Status Description</v>
          </cell>
          <cell r="B958" t="str">
            <v>IN REPAYMENT</v>
          </cell>
        </row>
        <row r="959">
          <cell r="A959" t="str">
            <v>Loan Status Effective Date</v>
          </cell>
          <cell r="B959">
            <v>41150</v>
          </cell>
        </row>
        <row r="960">
          <cell r="A960" t="str">
            <v>Loan Status</v>
          </cell>
          <cell r="B960" t="str">
            <v>FB</v>
          </cell>
        </row>
        <row r="961">
          <cell r="A961" t="str">
            <v>Loan Status Description</v>
          </cell>
          <cell r="B961" t="str">
            <v>FORBEARANCE</v>
          </cell>
        </row>
        <row r="962">
          <cell r="A962" t="str">
            <v>Loan Status Effective Date</v>
          </cell>
          <cell r="B962">
            <v>40812</v>
          </cell>
        </row>
        <row r="963">
          <cell r="A963" t="str">
            <v>Loan Status</v>
          </cell>
          <cell r="B963" t="str">
            <v>DA</v>
          </cell>
        </row>
        <row r="964">
          <cell r="A964" t="str">
            <v>Loan Status Description</v>
          </cell>
          <cell r="B964" t="str">
            <v>DEFERRED</v>
          </cell>
        </row>
        <row r="965">
          <cell r="A965" t="str">
            <v>Loan Status Effective Date</v>
          </cell>
          <cell r="B965">
            <v>40628</v>
          </cell>
        </row>
        <row r="966">
          <cell r="A966" t="str">
            <v>Loan Status</v>
          </cell>
          <cell r="B966" t="str">
            <v>DA</v>
          </cell>
        </row>
        <row r="967">
          <cell r="A967" t="str">
            <v>Loan Status Description</v>
          </cell>
          <cell r="B967" t="str">
            <v>DEFERRED</v>
          </cell>
        </row>
        <row r="968">
          <cell r="A968" t="str">
            <v>Loan Status Effective Date</v>
          </cell>
          <cell r="B968">
            <v>39933</v>
          </cell>
        </row>
        <row r="969">
          <cell r="A969" t="str">
            <v>Loan Status</v>
          </cell>
          <cell r="B969" t="str">
            <v>IA</v>
          </cell>
        </row>
        <row r="970">
          <cell r="A970" t="str">
            <v>Loan Status Description</v>
          </cell>
          <cell r="B970" t="str">
            <v>LOAN ORIGINATED</v>
          </cell>
        </row>
        <row r="971">
          <cell r="A971" t="str">
            <v>Loan Status Effective Date</v>
          </cell>
          <cell r="B971">
            <v>39924</v>
          </cell>
        </row>
        <row r="972">
          <cell r="A972" t="str">
            <v>Loan Disbursement Date</v>
          </cell>
          <cell r="B972">
            <v>40059</v>
          </cell>
        </row>
        <row r="973">
          <cell r="A973" t="str">
            <v>Loan Disbursement Amount</v>
          </cell>
          <cell r="B973">
            <v>20575</v>
          </cell>
        </row>
        <row r="974">
          <cell r="A974" t="str">
            <v>Loan Disbursement Date</v>
          </cell>
          <cell r="B974">
            <v>39933</v>
          </cell>
        </row>
        <row r="975">
          <cell r="A975" t="str">
            <v>Loan Disbursement Amount</v>
          </cell>
          <cell r="B975">
            <v>20575</v>
          </cell>
        </row>
        <row r="976">
          <cell r="A976" t="str">
            <v>Loan Contact Type</v>
          </cell>
          <cell r="B976" t="str">
            <v>Current Servicer</v>
          </cell>
        </row>
        <row r="977">
          <cell r="A977" t="str">
            <v>Loan Contact Name</v>
          </cell>
          <cell r="B977" t="str">
            <v>DEPT OF ED/NAVIENT</v>
          </cell>
        </row>
        <row r="978">
          <cell r="A978" t="str">
            <v>Loan Contact Street Address 1</v>
          </cell>
          <cell r="B978" t="str">
            <v>P.O. BOX 9635</v>
          </cell>
        </row>
        <row r="979">
          <cell r="A979" t="str">
            <v>Loan Contact Street Address 2</v>
          </cell>
        </row>
        <row r="980">
          <cell r="A980" t="str">
            <v>Loan Contact City</v>
          </cell>
          <cell r="B980" t="str">
            <v>WILKES-BARRE</v>
          </cell>
        </row>
        <row r="981">
          <cell r="A981" t="str">
            <v>Loan Contact State Code</v>
          </cell>
          <cell r="B981" t="str">
            <v>PA</v>
          </cell>
        </row>
        <row r="982">
          <cell r="A982" t="str">
            <v>Loan Contact Zip Code</v>
          </cell>
          <cell r="B982">
            <v>187739635</v>
          </cell>
        </row>
        <row r="983">
          <cell r="A983" t="str">
            <v>Loan Contact Phone Number</v>
          </cell>
          <cell r="B983" t="str">
            <v>800-722-1300</v>
          </cell>
        </row>
        <row r="984">
          <cell r="A984" t="str">
            <v>Loan Contact Phone Extension</v>
          </cell>
        </row>
        <row r="985">
          <cell r="A985" t="str">
            <v>Loan Contact Email Address</v>
          </cell>
        </row>
        <row r="986">
          <cell r="A986" t="str">
            <v>Loan Contact Web Site Address</v>
          </cell>
          <cell r="B986" t="str">
            <v>www.salliemae.com</v>
          </cell>
        </row>
        <row r="987">
          <cell r="A987" t="str">
            <v>Loan Contact Type</v>
          </cell>
          <cell r="B987" t="str">
            <v>Current Lender</v>
          </cell>
        </row>
        <row r="988">
          <cell r="A988" t="str">
            <v>Loan Contact Name</v>
          </cell>
          <cell r="B988" t="str">
            <v>U.S. DEPT OF ED/2008-2009 LPCP</v>
          </cell>
        </row>
        <row r="989">
          <cell r="A989" t="str">
            <v>Loan Contact Street Address 1</v>
          </cell>
          <cell r="B989" t="str">
            <v>830 FIRST ST., NE</v>
          </cell>
        </row>
        <row r="990">
          <cell r="A990" t="str">
            <v>Loan Contact Street Address 2</v>
          </cell>
        </row>
        <row r="991">
          <cell r="A991" t="str">
            <v>Loan Contact City</v>
          </cell>
          <cell r="B991" t="str">
            <v>WASHINGTON</v>
          </cell>
        </row>
        <row r="992">
          <cell r="A992" t="str">
            <v>Loan Contact State Code</v>
          </cell>
          <cell r="B992" t="str">
            <v>DC</v>
          </cell>
        </row>
        <row r="993">
          <cell r="A993" t="str">
            <v>Loan Contact Zip Code</v>
          </cell>
          <cell r="B993">
            <v>202020000</v>
          </cell>
        </row>
        <row r="994">
          <cell r="A994" t="str">
            <v>Loan Contact Phone Number</v>
          </cell>
        </row>
        <row r="995">
          <cell r="A995" t="str">
            <v>Loan Contact Phone Extension</v>
          </cell>
        </row>
        <row r="996">
          <cell r="A996" t="str">
            <v>Loan Contact Email Address</v>
          </cell>
        </row>
        <row r="997">
          <cell r="A997" t="str">
            <v>Loan Contact Web Site Address</v>
          </cell>
        </row>
        <row r="998">
          <cell r="A998" t="str">
            <v>Loan Contact Type</v>
          </cell>
          <cell r="B998" t="str">
            <v>Current ED Servicer</v>
          </cell>
        </row>
        <row r="999">
          <cell r="A999" t="str">
            <v>Loan Contact Name</v>
          </cell>
          <cell r="B999" t="str">
            <v>DEPT OF ED/NAVIENT</v>
          </cell>
        </row>
        <row r="1000">
          <cell r="A1000" t="str">
            <v>Loan Contact Street Address 1</v>
          </cell>
          <cell r="B1000" t="str">
            <v>PO BOX 740351</v>
          </cell>
        </row>
        <row r="1001">
          <cell r="A1001" t="str">
            <v>Loan Contact Street Address 2</v>
          </cell>
        </row>
        <row r="1002">
          <cell r="A1002" t="str">
            <v>Loan Contact City</v>
          </cell>
          <cell r="B1002" t="str">
            <v>ATLANTA</v>
          </cell>
        </row>
        <row r="1003">
          <cell r="A1003" t="str">
            <v>Loan Contact State Code</v>
          </cell>
          <cell r="B1003" t="str">
            <v>GA</v>
          </cell>
        </row>
        <row r="1004">
          <cell r="A1004" t="str">
            <v>Loan Contact Zip Code</v>
          </cell>
          <cell r="B1004">
            <v>30348</v>
          </cell>
        </row>
        <row r="1005">
          <cell r="A1005" t="str">
            <v>Loan Contact Phone Number</v>
          </cell>
          <cell r="B1005" t="str">
            <v>800-722-1300</v>
          </cell>
        </row>
        <row r="1006">
          <cell r="A1006" t="str">
            <v>Loan Contact Phone Extension</v>
          </cell>
        </row>
        <row r="1007">
          <cell r="A1007" t="str">
            <v>Loan Contact Email Address</v>
          </cell>
        </row>
        <row r="1008">
          <cell r="A1008" t="str">
            <v>Loan Contact Web Site Address</v>
          </cell>
          <cell r="B1008" t="str">
            <v>www.navient.com</v>
          </cell>
        </row>
        <row r="1009">
          <cell r="A1009" t="str">
            <v>Loan Type</v>
          </cell>
          <cell r="B1009" t="str">
            <v>FFEL PLUS GRADUATE</v>
          </cell>
        </row>
        <row r="1010">
          <cell r="A1010" t="str">
            <v>Loan Award ID</v>
          </cell>
          <cell r="B1010" t="str">
            <v>*****9785509022444004</v>
          </cell>
        </row>
        <row r="1011">
          <cell r="A1011" t="str">
            <v>Loan Attending School Name</v>
          </cell>
          <cell r="B1011" t="str">
            <v>AMERICAN UNIVERSITY OF THE CARIBBEAN</v>
          </cell>
        </row>
        <row r="1012">
          <cell r="A1012" t="str">
            <v>Loan Attending School OPEID</v>
          </cell>
          <cell r="B1012">
            <v>2244400</v>
          </cell>
        </row>
        <row r="1013">
          <cell r="A1013" t="str">
            <v>Loan Date</v>
          </cell>
          <cell r="B1013">
            <v>39661</v>
          </cell>
        </row>
        <row r="1014">
          <cell r="A1014" t="str">
            <v>Loan Repayment Begin Date</v>
          </cell>
          <cell r="B1014">
            <v>39681</v>
          </cell>
        </row>
        <row r="1015">
          <cell r="A1015" t="str">
            <v>Loan Period Begin Date</v>
          </cell>
          <cell r="B1015">
            <v>39692</v>
          </cell>
        </row>
        <row r="1016">
          <cell r="A1016" t="str">
            <v>Loan Period End Date</v>
          </cell>
          <cell r="B1016">
            <v>39927</v>
          </cell>
        </row>
        <row r="1017">
          <cell r="A1017" t="str">
            <v>Loan Amount</v>
          </cell>
          <cell r="B1017">
            <v>20950</v>
          </cell>
        </row>
        <row r="1018">
          <cell r="A1018" t="str">
            <v>Loan Disbursed Amount</v>
          </cell>
          <cell r="B1018">
            <v>20950</v>
          </cell>
        </row>
        <row r="1019">
          <cell r="A1019" t="str">
            <v>Loan Canceled Amount</v>
          </cell>
          <cell r="B1019">
            <v>0</v>
          </cell>
        </row>
        <row r="1020">
          <cell r="A1020" t="str">
            <v>Loan Canceled Date</v>
          </cell>
        </row>
        <row r="1021">
          <cell r="A1021" t="str">
            <v>Loan Outstanding Principal Balance</v>
          </cell>
          <cell r="B1021">
            <v>20950</v>
          </cell>
        </row>
        <row r="1022">
          <cell r="A1022" t="str">
            <v>Loan Outstanding Principal Balance as of Date</v>
          </cell>
          <cell r="B1022">
            <v>42310</v>
          </cell>
        </row>
        <row r="1023">
          <cell r="A1023" t="str">
            <v>Loan Outstanding Interest Balance</v>
          </cell>
          <cell r="B1023">
            <v>12812</v>
          </cell>
        </row>
        <row r="1024">
          <cell r="A1024" t="str">
            <v>Loan Outstanding Interest Balance as of Date</v>
          </cell>
          <cell r="B1024">
            <v>42310</v>
          </cell>
        </row>
        <row r="1025">
          <cell r="A1025" t="str">
            <v>Loan Interest Rate Type</v>
          </cell>
          <cell r="B1025" t="str">
            <v>FIXED</v>
          </cell>
        </row>
        <row r="1026">
          <cell r="A1026" t="str">
            <v>Loan Interest Rate</v>
          </cell>
          <cell r="B1026">
            <v>8.5000000000000006E-2</v>
          </cell>
        </row>
        <row r="1027">
          <cell r="A1027" t="str">
            <v>Loan Repayment Plan Begin Date</v>
          </cell>
          <cell r="B1027">
            <v>41159</v>
          </cell>
        </row>
        <row r="1028">
          <cell r="A1028" t="str">
            <v>Loan Repayment Plan Scheduled Amount</v>
          </cell>
          <cell r="B1028">
            <v>387</v>
          </cell>
        </row>
        <row r="1029">
          <cell r="A1029" t="str">
            <v>Loan Confirmed Subsidy Status</v>
          </cell>
        </row>
        <row r="1030">
          <cell r="A1030" t="str">
            <v>Loan Subsidized Usage in Years</v>
          </cell>
        </row>
        <row r="1031">
          <cell r="A1031" t="str">
            <v>Loan Reaffirmation Date</v>
          </cell>
        </row>
        <row r="1032">
          <cell r="A1032" t="str">
            <v>Loan Status</v>
          </cell>
          <cell r="B1032" t="str">
            <v>DA</v>
          </cell>
        </row>
        <row r="1033">
          <cell r="A1033" t="str">
            <v>Loan Status Description</v>
          </cell>
          <cell r="B1033" t="str">
            <v>DEFERRED</v>
          </cell>
        </row>
        <row r="1034">
          <cell r="A1034" t="str">
            <v>Loan Status Effective Date</v>
          </cell>
          <cell r="B1034">
            <v>41821</v>
          </cell>
        </row>
        <row r="1035">
          <cell r="A1035" t="str">
            <v>Loan Status</v>
          </cell>
          <cell r="B1035" t="str">
            <v>RP</v>
          </cell>
        </row>
        <row r="1036">
          <cell r="A1036" t="str">
            <v>Loan Status Description</v>
          </cell>
          <cell r="B1036" t="str">
            <v>IN REPAYMENT</v>
          </cell>
        </row>
        <row r="1037">
          <cell r="A1037" t="str">
            <v>Loan Status Effective Date</v>
          </cell>
          <cell r="B1037">
            <v>41813</v>
          </cell>
        </row>
        <row r="1038">
          <cell r="A1038" t="str">
            <v>Loan Status</v>
          </cell>
          <cell r="B1038" t="str">
            <v>FB</v>
          </cell>
        </row>
        <row r="1039">
          <cell r="A1039" t="str">
            <v>Loan Status Description</v>
          </cell>
          <cell r="B1039" t="str">
            <v>FORBEARANCE</v>
          </cell>
        </row>
        <row r="1040">
          <cell r="A1040" t="str">
            <v>Loan Status Effective Date</v>
          </cell>
          <cell r="B1040">
            <v>41543</v>
          </cell>
        </row>
        <row r="1041">
          <cell r="A1041" t="str">
            <v>Loan Status</v>
          </cell>
          <cell r="B1041" t="str">
            <v>RP</v>
          </cell>
        </row>
        <row r="1042">
          <cell r="A1042" t="str">
            <v>Loan Status Description</v>
          </cell>
          <cell r="B1042" t="str">
            <v>IN REPAYMENT</v>
          </cell>
        </row>
        <row r="1043">
          <cell r="A1043" t="str">
            <v>Loan Status Effective Date</v>
          </cell>
          <cell r="B1043">
            <v>41150</v>
          </cell>
        </row>
        <row r="1044">
          <cell r="A1044" t="str">
            <v>Loan Status</v>
          </cell>
          <cell r="B1044" t="str">
            <v>FB</v>
          </cell>
        </row>
        <row r="1045">
          <cell r="A1045" t="str">
            <v>Loan Status Description</v>
          </cell>
          <cell r="B1045" t="str">
            <v>FORBEARANCE</v>
          </cell>
        </row>
        <row r="1046">
          <cell r="A1046" t="str">
            <v>Loan Status Effective Date</v>
          </cell>
          <cell r="B1046">
            <v>40812</v>
          </cell>
        </row>
        <row r="1047">
          <cell r="A1047" t="str">
            <v>Loan Status</v>
          </cell>
          <cell r="B1047" t="str">
            <v>DA</v>
          </cell>
        </row>
        <row r="1048">
          <cell r="A1048" t="str">
            <v>Loan Status Description</v>
          </cell>
          <cell r="B1048" t="str">
            <v>DEFERRED</v>
          </cell>
        </row>
        <row r="1049">
          <cell r="A1049" t="str">
            <v>Loan Status Effective Date</v>
          </cell>
          <cell r="B1049">
            <v>40628</v>
          </cell>
        </row>
        <row r="1050">
          <cell r="A1050" t="str">
            <v>Loan Status</v>
          </cell>
          <cell r="B1050" t="str">
            <v>DA</v>
          </cell>
        </row>
        <row r="1051">
          <cell r="A1051" t="str">
            <v>Loan Status Description</v>
          </cell>
          <cell r="B1051" t="str">
            <v>DEFERRED</v>
          </cell>
        </row>
        <row r="1052">
          <cell r="A1052" t="str">
            <v>Loan Status Effective Date</v>
          </cell>
          <cell r="B1052">
            <v>39681</v>
          </cell>
        </row>
        <row r="1053">
          <cell r="A1053" t="str">
            <v>Loan Disbursement Date</v>
          </cell>
          <cell r="B1053">
            <v>39681</v>
          </cell>
        </row>
        <row r="1054">
          <cell r="A1054" t="str">
            <v>Loan Disbursement Amount</v>
          </cell>
          <cell r="B1054">
            <v>20950</v>
          </cell>
        </row>
        <row r="1055">
          <cell r="A1055" t="str">
            <v>Loan Contact Type</v>
          </cell>
          <cell r="B1055" t="str">
            <v>Current Servicer</v>
          </cell>
        </row>
        <row r="1056">
          <cell r="A1056" t="str">
            <v>Loan Contact Name</v>
          </cell>
          <cell r="B1056" t="str">
            <v>DEPT OF ED/NAVIENT</v>
          </cell>
        </row>
        <row r="1057">
          <cell r="A1057" t="str">
            <v>Loan Contact Street Address 1</v>
          </cell>
          <cell r="B1057" t="str">
            <v>P.O. BOX 9635</v>
          </cell>
        </row>
        <row r="1058">
          <cell r="A1058" t="str">
            <v>Loan Contact Street Address 2</v>
          </cell>
        </row>
        <row r="1059">
          <cell r="A1059" t="str">
            <v>Loan Contact City</v>
          </cell>
          <cell r="B1059" t="str">
            <v>WILKES-BARRE</v>
          </cell>
        </row>
        <row r="1060">
          <cell r="A1060" t="str">
            <v>Loan Contact State Code</v>
          </cell>
          <cell r="B1060" t="str">
            <v>PA</v>
          </cell>
        </row>
        <row r="1061">
          <cell r="A1061" t="str">
            <v>Loan Contact Zip Code</v>
          </cell>
          <cell r="B1061">
            <v>187739635</v>
          </cell>
        </row>
        <row r="1062">
          <cell r="A1062" t="str">
            <v>Loan Contact Phone Number</v>
          </cell>
          <cell r="B1062" t="str">
            <v>800-722-1300</v>
          </cell>
        </row>
        <row r="1063">
          <cell r="A1063" t="str">
            <v>Loan Contact Phone Extension</v>
          </cell>
        </row>
        <row r="1064">
          <cell r="A1064" t="str">
            <v>Loan Contact Email Address</v>
          </cell>
        </row>
        <row r="1065">
          <cell r="A1065" t="str">
            <v>Loan Contact Web Site Address</v>
          </cell>
          <cell r="B1065" t="str">
            <v>www.salliemae.com</v>
          </cell>
        </row>
        <row r="1066">
          <cell r="A1066" t="str">
            <v>Loan Contact Type</v>
          </cell>
          <cell r="B1066" t="str">
            <v>Current Lender</v>
          </cell>
        </row>
        <row r="1067">
          <cell r="A1067" t="str">
            <v>Loan Contact Name</v>
          </cell>
          <cell r="B1067" t="str">
            <v>U.S. DEPT OF ED/2008-2009 LPCP</v>
          </cell>
        </row>
        <row r="1068">
          <cell r="A1068" t="str">
            <v>Loan Contact Street Address 1</v>
          </cell>
          <cell r="B1068" t="str">
            <v>830 FIRST ST., NE</v>
          </cell>
        </row>
        <row r="1069">
          <cell r="A1069" t="str">
            <v>Loan Contact Street Address 2</v>
          </cell>
        </row>
        <row r="1070">
          <cell r="A1070" t="str">
            <v>Loan Contact City</v>
          </cell>
          <cell r="B1070" t="str">
            <v>WASHINGTON</v>
          </cell>
        </row>
        <row r="1071">
          <cell r="A1071" t="str">
            <v>Loan Contact State Code</v>
          </cell>
          <cell r="B1071" t="str">
            <v>DC</v>
          </cell>
        </row>
        <row r="1072">
          <cell r="A1072" t="str">
            <v>Loan Contact Zip Code</v>
          </cell>
          <cell r="B1072">
            <v>202020000</v>
          </cell>
        </row>
        <row r="1073">
          <cell r="A1073" t="str">
            <v>Loan Contact Phone Number</v>
          </cell>
        </row>
        <row r="1074">
          <cell r="A1074" t="str">
            <v>Loan Contact Phone Extension</v>
          </cell>
        </row>
        <row r="1075">
          <cell r="A1075" t="str">
            <v>Loan Contact Email Address</v>
          </cell>
        </row>
        <row r="1076">
          <cell r="A1076" t="str">
            <v>Loan Contact Web Site Address</v>
          </cell>
        </row>
        <row r="1077">
          <cell r="A1077" t="str">
            <v>Loan Contact Type</v>
          </cell>
          <cell r="B1077" t="str">
            <v>Current ED Servicer</v>
          </cell>
        </row>
        <row r="1078">
          <cell r="A1078" t="str">
            <v>Loan Contact Name</v>
          </cell>
          <cell r="B1078" t="str">
            <v>DEPT OF ED/NAVIENT</v>
          </cell>
        </row>
        <row r="1079">
          <cell r="A1079" t="str">
            <v>Loan Contact Street Address 1</v>
          </cell>
          <cell r="B1079" t="str">
            <v>PO BOX 740351</v>
          </cell>
        </row>
        <row r="1080">
          <cell r="A1080" t="str">
            <v>Loan Contact Street Address 2</v>
          </cell>
        </row>
        <row r="1081">
          <cell r="A1081" t="str">
            <v>Loan Contact City</v>
          </cell>
          <cell r="B1081" t="str">
            <v>ATLANTA</v>
          </cell>
        </row>
        <row r="1082">
          <cell r="A1082" t="str">
            <v>Loan Contact State Code</v>
          </cell>
          <cell r="B1082" t="str">
            <v>GA</v>
          </cell>
        </row>
        <row r="1083">
          <cell r="A1083" t="str">
            <v>Loan Contact Zip Code</v>
          </cell>
          <cell r="B1083">
            <v>30348</v>
          </cell>
        </row>
        <row r="1084">
          <cell r="A1084" t="str">
            <v>Loan Contact Phone Number</v>
          </cell>
          <cell r="B1084" t="str">
            <v>800-722-1300</v>
          </cell>
        </row>
        <row r="1085">
          <cell r="A1085" t="str">
            <v>Loan Contact Phone Extension</v>
          </cell>
        </row>
        <row r="1086">
          <cell r="A1086" t="str">
            <v>Loan Contact Email Address</v>
          </cell>
        </row>
        <row r="1087">
          <cell r="A1087" t="str">
            <v>Loan Contact Web Site Address</v>
          </cell>
          <cell r="B1087" t="str">
            <v>www.navient.com</v>
          </cell>
        </row>
        <row r="1088">
          <cell r="A1088" t="str">
            <v>Loan Type</v>
          </cell>
          <cell r="B1088" t="str">
            <v>STAFFORD SUBSIDIZED</v>
          </cell>
        </row>
        <row r="1089">
          <cell r="A1089" t="str">
            <v>Loan Award ID</v>
          </cell>
          <cell r="B1089" t="str">
            <v>*****9785109022444006</v>
          </cell>
        </row>
        <row r="1090">
          <cell r="A1090" t="str">
            <v>Loan Attending School Name</v>
          </cell>
          <cell r="B1090" t="str">
            <v>AMERICAN UNIVERSITY OF THE CARIBBEAN</v>
          </cell>
        </row>
        <row r="1091">
          <cell r="A1091" t="str">
            <v>Loan Attending School OPEID</v>
          </cell>
          <cell r="B1091">
            <v>2244400</v>
          </cell>
        </row>
        <row r="1092">
          <cell r="A1092" t="str">
            <v>Loan Date</v>
          </cell>
          <cell r="B1092">
            <v>39626</v>
          </cell>
        </row>
        <row r="1093">
          <cell r="A1093" t="str">
            <v>Loan Repayment Begin Date</v>
          </cell>
          <cell r="B1093">
            <v>40812</v>
          </cell>
        </row>
        <row r="1094">
          <cell r="A1094" t="str">
            <v>Loan Period Begin Date</v>
          </cell>
          <cell r="B1094">
            <v>39692</v>
          </cell>
        </row>
        <row r="1095">
          <cell r="A1095" t="str">
            <v>Loan Period End Date</v>
          </cell>
          <cell r="B1095">
            <v>39927</v>
          </cell>
        </row>
        <row r="1096">
          <cell r="A1096" t="str">
            <v>Loan Amount</v>
          </cell>
          <cell r="B1096">
            <v>4250</v>
          </cell>
        </row>
        <row r="1097">
          <cell r="A1097" t="str">
            <v>Loan Disbursed Amount</v>
          </cell>
          <cell r="B1097">
            <v>4250</v>
          </cell>
        </row>
        <row r="1098">
          <cell r="A1098" t="str">
            <v>Loan Canceled Amount</v>
          </cell>
          <cell r="B1098">
            <v>0</v>
          </cell>
        </row>
        <row r="1099">
          <cell r="A1099" t="str">
            <v>Loan Canceled Date</v>
          </cell>
        </row>
        <row r="1100">
          <cell r="A1100" t="str">
            <v>Loan Outstanding Principal Balance</v>
          </cell>
          <cell r="B1100">
            <v>5048</v>
          </cell>
        </row>
        <row r="1101">
          <cell r="A1101" t="str">
            <v>Loan Outstanding Principal Balance as of Date</v>
          </cell>
          <cell r="B1101">
            <v>42310</v>
          </cell>
        </row>
        <row r="1102">
          <cell r="A1102" t="str">
            <v>Loan Outstanding Interest Balance</v>
          </cell>
          <cell r="B1102">
            <v>0</v>
          </cell>
        </row>
        <row r="1103">
          <cell r="A1103" t="str">
            <v>Loan Outstanding Interest Balance as of Date</v>
          </cell>
          <cell r="B1103">
            <v>42310</v>
          </cell>
        </row>
        <row r="1104">
          <cell r="A1104" t="str">
            <v>Loan Interest Rate Type</v>
          </cell>
          <cell r="B1104" t="str">
            <v>FIXED</v>
          </cell>
        </row>
        <row r="1105">
          <cell r="A1105" t="str">
            <v>Loan Interest Rate</v>
          </cell>
          <cell r="B1105">
            <v>6.8000000000000005E-2</v>
          </cell>
        </row>
        <row r="1106">
          <cell r="A1106" t="str">
            <v>Loan Repayment Plan Begin Date</v>
          </cell>
          <cell r="B1106">
            <v>40766</v>
          </cell>
        </row>
        <row r="1107">
          <cell r="A1107" t="str">
            <v>Loan Repayment Plan Scheduled Amount</v>
          </cell>
          <cell r="B1107">
            <v>57</v>
          </cell>
        </row>
        <row r="1108">
          <cell r="A1108" t="str">
            <v>Loan Confirmed Subsidy Status</v>
          </cell>
        </row>
        <row r="1109">
          <cell r="A1109" t="str">
            <v>Loan Subsidized Usage in Years</v>
          </cell>
        </row>
        <row r="1110">
          <cell r="A1110" t="str">
            <v>Loan Reaffirmation Date</v>
          </cell>
        </row>
        <row r="1111">
          <cell r="A1111" t="str">
            <v>Loan Status</v>
          </cell>
          <cell r="B1111" t="str">
            <v>DA</v>
          </cell>
        </row>
        <row r="1112">
          <cell r="A1112" t="str">
            <v>Loan Status Description</v>
          </cell>
          <cell r="B1112" t="str">
            <v>DEFERRED</v>
          </cell>
        </row>
        <row r="1113">
          <cell r="A1113" t="str">
            <v>Loan Status Effective Date</v>
          </cell>
          <cell r="B1113">
            <v>41821</v>
          </cell>
        </row>
        <row r="1114">
          <cell r="A1114" t="str">
            <v>Loan Status</v>
          </cell>
          <cell r="B1114" t="str">
            <v>FB</v>
          </cell>
        </row>
        <row r="1115">
          <cell r="A1115" t="str">
            <v>Loan Status Description</v>
          </cell>
          <cell r="B1115" t="str">
            <v>FORBEARANCE</v>
          </cell>
        </row>
        <row r="1116">
          <cell r="A1116" t="str">
            <v>Loan Status Effective Date</v>
          </cell>
          <cell r="B1116">
            <v>41813</v>
          </cell>
        </row>
        <row r="1117">
          <cell r="A1117" t="str">
            <v>Loan Status</v>
          </cell>
          <cell r="B1117" t="str">
            <v>FB</v>
          </cell>
        </row>
        <row r="1118">
          <cell r="A1118" t="str">
            <v>Loan Status Description</v>
          </cell>
          <cell r="B1118" t="str">
            <v>FORBEARANCE</v>
          </cell>
        </row>
        <row r="1119">
          <cell r="A1119" t="str">
            <v>Loan Status Effective Date</v>
          </cell>
          <cell r="B1119">
            <v>41543</v>
          </cell>
        </row>
        <row r="1120">
          <cell r="A1120" t="str">
            <v>Loan Status</v>
          </cell>
          <cell r="B1120" t="str">
            <v>FB</v>
          </cell>
        </row>
        <row r="1121">
          <cell r="A1121" t="str">
            <v>Loan Status Description</v>
          </cell>
          <cell r="B1121" t="str">
            <v>FORBEARANCE</v>
          </cell>
        </row>
        <row r="1122">
          <cell r="A1122" t="str">
            <v>Loan Status Effective Date</v>
          </cell>
          <cell r="B1122">
            <v>41178</v>
          </cell>
        </row>
        <row r="1123">
          <cell r="A1123" t="str">
            <v>Loan Status</v>
          </cell>
          <cell r="B1123" t="str">
            <v>FB</v>
          </cell>
        </row>
        <row r="1124">
          <cell r="A1124" t="str">
            <v>Loan Status Description</v>
          </cell>
          <cell r="B1124" t="str">
            <v>FORBEARANCE</v>
          </cell>
        </row>
        <row r="1125">
          <cell r="A1125" t="str">
            <v>Loan Status Effective Date</v>
          </cell>
          <cell r="B1125">
            <v>40812</v>
          </cell>
        </row>
        <row r="1126">
          <cell r="A1126" t="str">
            <v>Loan Status</v>
          </cell>
          <cell r="B1126" t="str">
            <v>IG</v>
          </cell>
        </row>
        <row r="1127">
          <cell r="A1127" t="str">
            <v>Loan Status Description</v>
          </cell>
          <cell r="B1127" t="str">
            <v>IN GRACE PERIOD</v>
          </cell>
        </row>
        <row r="1128">
          <cell r="A1128" t="str">
            <v>Loan Status Effective Date</v>
          </cell>
          <cell r="B1128">
            <v>40628</v>
          </cell>
        </row>
        <row r="1129">
          <cell r="A1129" t="str">
            <v>Loan Status</v>
          </cell>
          <cell r="B1129" t="str">
            <v>IA</v>
          </cell>
        </row>
        <row r="1130">
          <cell r="A1130" t="str">
            <v>Loan Status Description</v>
          </cell>
          <cell r="B1130" t="str">
            <v>LOAN ORIGINATED</v>
          </cell>
        </row>
        <row r="1131">
          <cell r="A1131" t="str">
            <v>Loan Status Effective Date</v>
          </cell>
          <cell r="B1131">
            <v>39626</v>
          </cell>
        </row>
        <row r="1132">
          <cell r="A1132" t="str">
            <v>Loan Disbursement Date</v>
          </cell>
          <cell r="B1132">
            <v>39681</v>
          </cell>
        </row>
        <row r="1133">
          <cell r="A1133" t="str">
            <v>Loan Disbursement Amount</v>
          </cell>
          <cell r="B1133">
            <v>4250</v>
          </cell>
        </row>
        <row r="1134">
          <cell r="A1134" t="str">
            <v>Loan Contact Type</v>
          </cell>
          <cell r="B1134" t="str">
            <v>Current Servicer</v>
          </cell>
        </row>
        <row r="1135">
          <cell r="A1135" t="str">
            <v>Loan Contact Name</v>
          </cell>
          <cell r="B1135" t="str">
            <v>DEPT OF ED/NAVIENT</v>
          </cell>
        </row>
        <row r="1136">
          <cell r="A1136" t="str">
            <v>Loan Contact Street Address 1</v>
          </cell>
          <cell r="B1136" t="str">
            <v>P.O. BOX 9635</v>
          </cell>
        </row>
        <row r="1137">
          <cell r="A1137" t="str">
            <v>Loan Contact Street Address 2</v>
          </cell>
        </row>
        <row r="1138">
          <cell r="A1138" t="str">
            <v>Loan Contact City</v>
          </cell>
          <cell r="B1138" t="str">
            <v>WILKES-BARRE</v>
          </cell>
        </row>
        <row r="1139">
          <cell r="A1139" t="str">
            <v>Loan Contact State Code</v>
          </cell>
          <cell r="B1139" t="str">
            <v>PA</v>
          </cell>
        </row>
        <row r="1140">
          <cell r="A1140" t="str">
            <v>Loan Contact Zip Code</v>
          </cell>
          <cell r="B1140">
            <v>187739635</v>
          </cell>
        </row>
        <row r="1141">
          <cell r="A1141" t="str">
            <v>Loan Contact Phone Number</v>
          </cell>
          <cell r="B1141" t="str">
            <v>800-722-1300</v>
          </cell>
        </row>
        <row r="1142">
          <cell r="A1142" t="str">
            <v>Loan Contact Phone Extension</v>
          </cell>
        </row>
        <row r="1143">
          <cell r="A1143" t="str">
            <v>Loan Contact Email Address</v>
          </cell>
        </row>
        <row r="1144">
          <cell r="A1144" t="str">
            <v>Loan Contact Web Site Address</v>
          </cell>
          <cell r="B1144" t="str">
            <v>www.salliemae.com</v>
          </cell>
        </row>
        <row r="1145">
          <cell r="A1145" t="str">
            <v>Loan Contact Type</v>
          </cell>
          <cell r="B1145" t="str">
            <v>Current Lender</v>
          </cell>
        </row>
        <row r="1146">
          <cell r="A1146" t="str">
            <v>Loan Contact Name</v>
          </cell>
          <cell r="B1146" t="str">
            <v>U.S. DEPT OF ED/2008-2009 LPCP</v>
          </cell>
        </row>
        <row r="1147">
          <cell r="A1147" t="str">
            <v>Loan Contact Street Address 1</v>
          </cell>
          <cell r="B1147" t="str">
            <v>830 FIRST ST., NE</v>
          </cell>
        </row>
        <row r="1148">
          <cell r="A1148" t="str">
            <v>Loan Contact Street Address 2</v>
          </cell>
        </row>
        <row r="1149">
          <cell r="A1149" t="str">
            <v>Loan Contact City</v>
          </cell>
          <cell r="B1149" t="str">
            <v>WASHINGTON</v>
          </cell>
        </row>
        <row r="1150">
          <cell r="A1150" t="str">
            <v>Loan Contact State Code</v>
          </cell>
          <cell r="B1150" t="str">
            <v>DC</v>
          </cell>
        </row>
        <row r="1151">
          <cell r="A1151" t="str">
            <v>Loan Contact Zip Code</v>
          </cell>
          <cell r="B1151">
            <v>202020000</v>
          </cell>
        </row>
        <row r="1152">
          <cell r="A1152" t="str">
            <v>Loan Contact Phone Number</v>
          </cell>
        </row>
        <row r="1153">
          <cell r="A1153" t="str">
            <v>Loan Contact Phone Extension</v>
          </cell>
        </row>
        <row r="1154">
          <cell r="A1154" t="str">
            <v>Loan Contact Email Address</v>
          </cell>
        </row>
        <row r="1155">
          <cell r="A1155" t="str">
            <v>Loan Contact Web Site Address</v>
          </cell>
        </row>
        <row r="1156">
          <cell r="A1156" t="str">
            <v>Loan Contact Type</v>
          </cell>
          <cell r="B1156" t="str">
            <v>Current ED Servicer</v>
          </cell>
        </row>
        <row r="1157">
          <cell r="A1157" t="str">
            <v>Loan Contact Name</v>
          </cell>
          <cell r="B1157" t="str">
            <v>DEPT OF ED/NAVIENT</v>
          </cell>
        </row>
        <row r="1158">
          <cell r="A1158" t="str">
            <v>Loan Contact Street Address 1</v>
          </cell>
          <cell r="B1158" t="str">
            <v>PO BOX 740351</v>
          </cell>
        </row>
        <row r="1159">
          <cell r="A1159" t="str">
            <v>Loan Contact Street Address 2</v>
          </cell>
        </row>
        <row r="1160">
          <cell r="A1160" t="str">
            <v>Loan Contact City</v>
          </cell>
          <cell r="B1160" t="str">
            <v>ATLANTA</v>
          </cell>
        </row>
        <row r="1161">
          <cell r="A1161" t="str">
            <v>Loan Contact State Code</v>
          </cell>
          <cell r="B1161" t="str">
            <v>GA</v>
          </cell>
        </row>
        <row r="1162">
          <cell r="A1162" t="str">
            <v>Loan Contact Zip Code</v>
          </cell>
          <cell r="B1162">
            <v>30348</v>
          </cell>
        </row>
        <row r="1163">
          <cell r="A1163" t="str">
            <v>Loan Contact Phone Number</v>
          </cell>
          <cell r="B1163" t="str">
            <v>800-722-1300</v>
          </cell>
        </row>
        <row r="1164">
          <cell r="A1164" t="str">
            <v>Loan Contact Phone Extension</v>
          </cell>
        </row>
        <row r="1165">
          <cell r="A1165" t="str">
            <v>Loan Contact Email Address</v>
          </cell>
        </row>
        <row r="1166">
          <cell r="A1166" t="str">
            <v>Loan Contact Web Site Address</v>
          </cell>
          <cell r="B1166" t="str">
            <v>www.navient.com</v>
          </cell>
        </row>
        <row r="1167">
          <cell r="A1167" t="str">
            <v>Loan Type</v>
          </cell>
          <cell r="B1167" t="str">
            <v>STAFFORD UNSUBSIDIZED</v>
          </cell>
        </row>
        <row r="1168">
          <cell r="A1168" t="str">
            <v>Loan Award ID</v>
          </cell>
          <cell r="B1168" t="str">
            <v>*****9785209022444005</v>
          </cell>
        </row>
        <row r="1169">
          <cell r="A1169" t="str">
            <v>Loan Attending School Name</v>
          </cell>
          <cell r="B1169" t="str">
            <v>AMERICAN UNIVERSITY OF THE CARIBBEAN</v>
          </cell>
        </row>
        <row r="1170">
          <cell r="A1170" t="str">
            <v>Loan Attending School OPEID</v>
          </cell>
          <cell r="B1170">
            <v>2244400</v>
          </cell>
        </row>
        <row r="1171">
          <cell r="A1171" t="str">
            <v>Loan Date</v>
          </cell>
          <cell r="B1171">
            <v>39626</v>
          </cell>
        </row>
        <row r="1172">
          <cell r="A1172" t="str">
            <v>Loan Repayment Begin Date</v>
          </cell>
          <cell r="B1172">
            <v>40812</v>
          </cell>
        </row>
        <row r="1173">
          <cell r="A1173" t="str">
            <v>Loan Period Begin Date</v>
          </cell>
          <cell r="B1173">
            <v>39692</v>
          </cell>
        </row>
        <row r="1174">
          <cell r="A1174" t="str">
            <v>Loan Period End Date</v>
          </cell>
          <cell r="B1174">
            <v>39927</v>
          </cell>
        </row>
        <row r="1175">
          <cell r="A1175" t="str">
            <v>Loan Amount</v>
          </cell>
          <cell r="B1175">
            <v>6000</v>
          </cell>
        </row>
        <row r="1176">
          <cell r="A1176" t="str">
            <v>Loan Disbursed Amount</v>
          </cell>
          <cell r="B1176">
            <v>6000</v>
          </cell>
        </row>
        <row r="1177">
          <cell r="A1177" t="str">
            <v>Loan Canceled Amount</v>
          </cell>
          <cell r="B1177">
            <v>0</v>
          </cell>
        </row>
        <row r="1178">
          <cell r="A1178" t="str">
            <v>Loan Canceled Date</v>
          </cell>
        </row>
        <row r="1179">
          <cell r="A1179" t="str">
            <v>Loan Outstanding Principal Balance</v>
          </cell>
          <cell r="B1179">
            <v>7263</v>
          </cell>
        </row>
        <row r="1180">
          <cell r="A1180" t="str">
            <v>Loan Outstanding Principal Balance as of Date</v>
          </cell>
          <cell r="B1180">
            <v>42310</v>
          </cell>
        </row>
        <row r="1181">
          <cell r="A1181" t="str">
            <v>Loan Outstanding Interest Balance</v>
          </cell>
          <cell r="B1181">
            <v>2024</v>
          </cell>
        </row>
        <row r="1182">
          <cell r="A1182" t="str">
            <v>Loan Outstanding Interest Balance as of Date</v>
          </cell>
          <cell r="B1182">
            <v>42310</v>
          </cell>
        </row>
        <row r="1183">
          <cell r="A1183" t="str">
            <v>Loan Interest Rate Type</v>
          </cell>
          <cell r="B1183" t="str">
            <v>FIXED</v>
          </cell>
        </row>
        <row r="1184">
          <cell r="A1184" t="str">
            <v>Loan Interest Rate</v>
          </cell>
          <cell r="B1184">
            <v>6.8000000000000005E-2</v>
          </cell>
        </row>
        <row r="1185">
          <cell r="A1185" t="str">
            <v>Loan Repayment Plan Begin Date</v>
          </cell>
          <cell r="B1185">
            <v>40766</v>
          </cell>
        </row>
        <row r="1186">
          <cell r="A1186" t="str">
            <v>Loan Repayment Plan Scheduled Amount</v>
          </cell>
          <cell r="B1186">
            <v>98</v>
          </cell>
        </row>
        <row r="1187">
          <cell r="A1187" t="str">
            <v>Loan Confirmed Subsidy Status</v>
          </cell>
        </row>
        <row r="1188">
          <cell r="A1188" t="str">
            <v>Loan Subsidized Usage in Years</v>
          </cell>
        </row>
        <row r="1189">
          <cell r="A1189" t="str">
            <v>Loan Reaffirmation Date</v>
          </cell>
        </row>
        <row r="1190">
          <cell r="A1190" t="str">
            <v>Loan Status</v>
          </cell>
          <cell r="B1190" t="str">
            <v>DA</v>
          </cell>
        </row>
        <row r="1191">
          <cell r="A1191" t="str">
            <v>Loan Status Description</v>
          </cell>
          <cell r="B1191" t="str">
            <v>DEFERRED</v>
          </cell>
        </row>
        <row r="1192">
          <cell r="A1192" t="str">
            <v>Loan Status Effective Date</v>
          </cell>
          <cell r="B1192">
            <v>41821</v>
          </cell>
        </row>
        <row r="1193">
          <cell r="A1193" t="str">
            <v>Loan Status</v>
          </cell>
          <cell r="B1193" t="str">
            <v>FB</v>
          </cell>
        </row>
        <row r="1194">
          <cell r="A1194" t="str">
            <v>Loan Status Description</v>
          </cell>
          <cell r="B1194" t="str">
            <v>FORBEARANCE</v>
          </cell>
        </row>
        <row r="1195">
          <cell r="A1195" t="str">
            <v>Loan Status Effective Date</v>
          </cell>
          <cell r="B1195">
            <v>41813</v>
          </cell>
        </row>
        <row r="1196">
          <cell r="A1196" t="str">
            <v>Loan Status</v>
          </cell>
          <cell r="B1196" t="str">
            <v>FB</v>
          </cell>
        </row>
        <row r="1197">
          <cell r="A1197" t="str">
            <v>Loan Status Description</v>
          </cell>
          <cell r="B1197" t="str">
            <v>FORBEARANCE</v>
          </cell>
        </row>
        <row r="1198">
          <cell r="A1198" t="str">
            <v>Loan Status Effective Date</v>
          </cell>
          <cell r="B1198">
            <v>41543</v>
          </cell>
        </row>
        <row r="1199">
          <cell r="A1199" t="str">
            <v>Loan Status</v>
          </cell>
          <cell r="B1199" t="str">
            <v>FB</v>
          </cell>
        </row>
        <row r="1200">
          <cell r="A1200" t="str">
            <v>Loan Status Description</v>
          </cell>
          <cell r="B1200" t="str">
            <v>FORBEARANCE</v>
          </cell>
        </row>
        <row r="1201">
          <cell r="A1201" t="str">
            <v>Loan Status Effective Date</v>
          </cell>
          <cell r="B1201">
            <v>41178</v>
          </cell>
        </row>
        <row r="1202">
          <cell r="A1202" t="str">
            <v>Loan Status</v>
          </cell>
          <cell r="B1202" t="str">
            <v>FB</v>
          </cell>
        </row>
        <row r="1203">
          <cell r="A1203" t="str">
            <v>Loan Status Description</v>
          </cell>
          <cell r="B1203" t="str">
            <v>FORBEARANCE</v>
          </cell>
        </row>
        <row r="1204">
          <cell r="A1204" t="str">
            <v>Loan Status Effective Date</v>
          </cell>
          <cell r="B1204">
            <v>40812</v>
          </cell>
        </row>
        <row r="1205">
          <cell r="A1205" t="str">
            <v>Loan Status</v>
          </cell>
          <cell r="B1205" t="str">
            <v>IG</v>
          </cell>
        </row>
        <row r="1206">
          <cell r="A1206" t="str">
            <v>Loan Status Description</v>
          </cell>
          <cell r="B1206" t="str">
            <v>IN GRACE PERIOD</v>
          </cell>
        </row>
        <row r="1207">
          <cell r="A1207" t="str">
            <v>Loan Status Effective Date</v>
          </cell>
          <cell r="B1207">
            <v>40628</v>
          </cell>
        </row>
        <row r="1208">
          <cell r="A1208" t="str">
            <v>Loan Status</v>
          </cell>
          <cell r="B1208" t="str">
            <v>IA</v>
          </cell>
        </row>
        <row r="1209">
          <cell r="A1209" t="str">
            <v>Loan Status Description</v>
          </cell>
          <cell r="B1209" t="str">
            <v>LOAN ORIGINATED</v>
          </cell>
        </row>
        <row r="1210">
          <cell r="A1210" t="str">
            <v>Loan Status Effective Date</v>
          </cell>
          <cell r="B1210">
            <v>39626</v>
          </cell>
        </row>
        <row r="1211">
          <cell r="A1211" t="str">
            <v>Loan Disbursement Date</v>
          </cell>
          <cell r="B1211">
            <v>39681</v>
          </cell>
        </row>
        <row r="1212">
          <cell r="A1212" t="str">
            <v>Loan Disbursement Amount</v>
          </cell>
          <cell r="B1212">
            <v>6000</v>
          </cell>
        </row>
        <row r="1213">
          <cell r="A1213" t="str">
            <v>Loan Contact Type</v>
          </cell>
          <cell r="B1213" t="str">
            <v>Current Servicer</v>
          </cell>
        </row>
        <row r="1214">
          <cell r="A1214" t="str">
            <v>Loan Contact Name</v>
          </cell>
          <cell r="B1214" t="str">
            <v>DEPT OF ED/NAVIENT</v>
          </cell>
        </row>
        <row r="1215">
          <cell r="A1215" t="str">
            <v>Loan Contact Street Address 1</v>
          </cell>
          <cell r="B1215" t="str">
            <v>P.O. BOX 9635</v>
          </cell>
        </row>
        <row r="1216">
          <cell r="A1216" t="str">
            <v>Loan Contact Street Address 2</v>
          </cell>
        </row>
        <row r="1217">
          <cell r="A1217" t="str">
            <v>Loan Contact City</v>
          </cell>
          <cell r="B1217" t="str">
            <v>WILKES-BARRE</v>
          </cell>
        </row>
        <row r="1218">
          <cell r="A1218" t="str">
            <v>Loan Contact State Code</v>
          </cell>
          <cell r="B1218" t="str">
            <v>PA</v>
          </cell>
        </row>
        <row r="1219">
          <cell r="A1219" t="str">
            <v>Loan Contact Zip Code</v>
          </cell>
          <cell r="B1219">
            <v>187739635</v>
          </cell>
        </row>
        <row r="1220">
          <cell r="A1220" t="str">
            <v>Loan Contact Phone Number</v>
          </cell>
          <cell r="B1220" t="str">
            <v>800-722-1300</v>
          </cell>
        </row>
        <row r="1221">
          <cell r="A1221" t="str">
            <v>Loan Contact Phone Extension</v>
          </cell>
        </row>
        <row r="1222">
          <cell r="A1222" t="str">
            <v>Loan Contact Email Address</v>
          </cell>
        </row>
        <row r="1223">
          <cell r="A1223" t="str">
            <v>Loan Contact Web Site Address</v>
          </cell>
          <cell r="B1223" t="str">
            <v>www.salliemae.com</v>
          </cell>
        </row>
        <row r="1224">
          <cell r="A1224" t="str">
            <v>Loan Contact Type</v>
          </cell>
          <cell r="B1224" t="str">
            <v>Current Lender</v>
          </cell>
        </row>
        <row r="1225">
          <cell r="A1225" t="str">
            <v>Loan Contact Name</v>
          </cell>
          <cell r="B1225" t="str">
            <v>U.S. DEPT OF ED/2008-2009 LPCP</v>
          </cell>
        </row>
        <row r="1226">
          <cell r="A1226" t="str">
            <v>Loan Contact Street Address 1</v>
          </cell>
          <cell r="B1226" t="str">
            <v>830 FIRST ST., NE</v>
          </cell>
        </row>
        <row r="1227">
          <cell r="A1227" t="str">
            <v>Loan Contact Street Address 2</v>
          </cell>
        </row>
        <row r="1228">
          <cell r="A1228" t="str">
            <v>Loan Contact City</v>
          </cell>
          <cell r="B1228" t="str">
            <v>WASHINGTON</v>
          </cell>
        </row>
        <row r="1229">
          <cell r="A1229" t="str">
            <v>Loan Contact State Code</v>
          </cell>
          <cell r="B1229" t="str">
            <v>DC</v>
          </cell>
        </row>
        <row r="1230">
          <cell r="A1230" t="str">
            <v>Loan Contact Zip Code</v>
          </cell>
          <cell r="B1230">
            <v>202020000</v>
          </cell>
        </row>
        <row r="1231">
          <cell r="A1231" t="str">
            <v>Loan Contact Phone Number</v>
          </cell>
        </row>
        <row r="1232">
          <cell r="A1232" t="str">
            <v>Loan Contact Phone Extension</v>
          </cell>
        </row>
        <row r="1233">
          <cell r="A1233" t="str">
            <v>Loan Contact Email Address</v>
          </cell>
        </row>
        <row r="1234">
          <cell r="A1234" t="str">
            <v>Loan Contact Web Site Address</v>
          </cell>
        </row>
        <row r="1235">
          <cell r="A1235" t="str">
            <v>Loan Contact Type</v>
          </cell>
          <cell r="B1235" t="str">
            <v>Current ED Servicer</v>
          </cell>
        </row>
        <row r="1236">
          <cell r="A1236" t="str">
            <v>Loan Contact Name</v>
          </cell>
          <cell r="B1236" t="str">
            <v>DEPT OF ED/NAVIENT</v>
          </cell>
        </row>
        <row r="1237">
          <cell r="A1237" t="str">
            <v>Loan Contact Street Address 1</v>
          </cell>
          <cell r="B1237" t="str">
            <v>PO BOX 740351</v>
          </cell>
        </row>
        <row r="1238">
          <cell r="A1238" t="str">
            <v>Loan Contact Street Address 2</v>
          </cell>
        </row>
        <row r="1239">
          <cell r="A1239" t="str">
            <v>Loan Contact City</v>
          </cell>
          <cell r="B1239" t="str">
            <v>ATLANTA</v>
          </cell>
        </row>
        <row r="1240">
          <cell r="A1240" t="str">
            <v>Loan Contact State Code</v>
          </cell>
          <cell r="B1240" t="str">
            <v>GA</v>
          </cell>
        </row>
        <row r="1241">
          <cell r="A1241" t="str">
            <v>Loan Contact Zip Code</v>
          </cell>
          <cell r="B1241">
            <v>30348</v>
          </cell>
        </row>
        <row r="1242">
          <cell r="A1242" t="str">
            <v>Loan Contact Phone Number</v>
          </cell>
          <cell r="B1242" t="str">
            <v>800-722-1300</v>
          </cell>
        </row>
        <row r="1243">
          <cell r="A1243" t="str">
            <v>Loan Contact Phone Extension</v>
          </cell>
        </row>
        <row r="1244">
          <cell r="A1244" t="str">
            <v>Loan Contact Email Address</v>
          </cell>
        </row>
        <row r="1245">
          <cell r="A1245" t="str">
            <v>Loan Contact Web Site Address</v>
          </cell>
          <cell r="B1245" t="str">
            <v>www.navient.com</v>
          </cell>
        </row>
        <row r="1246">
          <cell r="A1246" t="str">
            <v>Loan Type</v>
          </cell>
          <cell r="B1246" t="str">
            <v>FFEL PLUS GRADUATE</v>
          </cell>
        </row>
        <row r="1247">
          <cell r="A1247" t="str">
            <v>Loan Award ID</v>
          </cell>
        </row>
        <row r="1248">
          <cell r="A1248" t="str">
            <v>Loan Attending School Name</v>
          </cell>
          <cell r="B1248" t="str">
            <v>AMERICAN UNIVERSITY OF THE CARIBBEAN</v>
          </cell>
        </row>
        <row r="1249">
          <cell r="A1249" t="str">
            <v>Loan Attending School OPEID</v>
          </cell>
          <cell r="B1249">
            <v>2244400</v>
          </cell>
        </row>
        <row r="1250">
          <cell r="A1250" t="str">
            <v>Loan Date</v>
          </cell>
          <cell r="B1250">
            <v>39429</v>
          </cell>
        </row>
        <row r="1251">
          <cell r="A1251" t="str">
            <v>Loan Repayment Begin Date</v>
          </cell>
          <cell r="B1251">
            <v>39562</v>
          </cell>
        </row>
        <row r="1252">
          <cell r="A1252" t="str">
            <v>Loan Period Begin Date</v>
          </cell>
          <cell r="B1252">
            <v>39450</v>
          </cell>
        </row>
        <row r="1253">
          <cell r="A1253" t="str">
            <v>Loan Period End Date</v>
          </cell>
          <cell r="B1253">
            <v>39682</v>
          </cell>
        </row>
        <row r="1254">
          <cell r="A1254" t="str">
            <v>Loan Amount</v>
          </cell>
          <cell r="B1254">
            <v>32300</v>
          </cell>
        </row>
        <row r="1255">
          <cell r="A1255" t="str">
            <v>Loan Disbursed Amount</v>
          </cell>
          <cell r="B1255">
            <v>32300</v>
          </cell>
        </row>
        <row r="1256">
          <cell r="A1256" t="str">
            <v>Loan Canceled Amount</v>
          </cell>
          <cell r="B1256">
            <v>0</v>
          </cell>
        </row>
        <row r="1257">
          <cell r="A1257" t="str">
            <v>Loan Canceled Date</v>
          </cell>
        </row>
        <row r="1258">
          <cell r="A1258" t="str">
            <v>Loan Outstanding Principal Balance</v>
          </cell>
          <cell r="B1258">
            <v>53383</v>
          </cell>
        </row>
        <row r="1259">
          <cell r="A1259" t="str">
            <v>Loan Outstanding Principal Balance as of Date</v>
          </cell>
          <cell r="B1259">
            <v>42308</v>
          </cell>
        </row>
        <row r="1260">
          <cell r="A1260" t="str">
            <v>Loan Outstanding Interest Balance</v>
          </cell>
          <cell r="B1260">
            <v>5884</v>
          </cell>
        </row>
        <row r="1261">
          <cell r="A1261" t="str">
            <v>Loan Outstanding Interest Balance as of Date</v>
          </cell>
          <cell r="B1261">
            <v>42308</v>
          </cell>
        </row>
        <row r="1262">
          <cell r="A1262" t="str">
            <v>Loan Interest Rate Type</v>
          </cell>
          <cell r="B1262" t="str">
            <v>FIXED</v>
          </cell>
        </row>
        <row r="1263">
          <cell r="A1263" t="str">
            <v>Loan Interest Rate</v>
          </cell>
          <cell r="B1263">
            <v>8.5000000000000006E-2</v>
          </cell>
        </row>
        <row r="1264">
          <cell r="A1264" t="str">
            <v>Loan Repayment Plan Begin Date</v>
          </cell>
        </row>
        <row r="1265">
          <cell r="A1265" t="str">
            <v>Loan Repayment Plan Scheduled Amount</v>
          </cell>
        </row>
        <row r="1266">
          <cell r="A1266" t="str">
            <v>Loan Confirmed Subsidy Status</v>
          </cell>
        </row>
        <row r="1267">
          <cell r="A1267" t="str">
            <v>Loan Subsidized Usage in Years</v>
          </cell>
        </row>
        <row r="1268">
          <cell r="A1268" t="str">
            <v>Loan Reaffirmation Date</v>
          </cell>
        </row>
        <row r="1269">
          <cell r="A1269" t="str">
            <v>Loan Status</v>
          </cell>
          <cell r="B1269" t="str">
            <v>DA</v>
          </cell>
        </row>
        <row r="1270">
          <cell r="A1270" t="str">
            <v>Loan Status Description</v>
          </cell>
          <cell r="B1270" t="str">
            <v>DEFERRED</v>
          </cell>
        </row>
        <row r="1271">
          <cell r="A1271" t="str">
            <v>Loan Status Effective Date</v>
          </cell>
          <cell r="B1271">
            <v>41821</v>
          </cell>
        </row>
        <row r="1272">
          <cell r="A1272" t="str">
            <v>Loan Status</v>
          </cell>
          <cell r="B1272" t="str">
            <v>RP</v>
          </cell>
        </row>
        <row r="1273">
          <cell r="A1273" t="str">
            <v>Loan Status Description</v>
          </cell>
          <cell r="B1273" t="str">
            <v>IN REPAYMENT</v>
          </cell>
        </row>
        <row r="1274">
          <cell r="A1274" t="str">
            <v>Loan Status Effective Date</v>
          </cell>
          <cell r="B1274">
            <v>41806</v>
          </cell>
        </row>
        <row r="1275">
          <cell r="A1275" t="str">
            <v>Loan Status</v>
          </cell>
          <cell r="B1275" t="str">
            <v>FB</v>
          </cell>
        </row>
        <row r="1276">
          <cell r="A1276" t="str">
            <v>Loan Status Description</v>
          </cell>
          <cell r="B1276" t="str">
            <v>FORBEARANCE</v>
          </cell>
        </row>
        <row r="1277">
          <cell r="A1277" t="str">
            <v>Loan Status Effective Date</v>
          </cell>
          <cell r="B1277">
            <v>41441</v>
          </cell>
        </row>
        <row r="1278">
          <cell r="A1278" t="str">
            <v>Loan Status</v>
          </cell>
          <cell r="B1278" t="str">
            <v>RP</v>
          </cell>
        </row>
        <row r="1279">
          <cell r="A1279" t="str">
            <v>Loan Status Description</v>
          </cell>
          <cell r="B1279" t="str">
            <v>IN REPAYMENT</v>
          </cell>
        </row>
        <row r="1280">
          <cell r="A1280" t="str">
            <v>Loan Status Effective Date</v>
          </cell>
          <cell r="B1280">
            <v>41150</v>
          </cell>
        </row>
        <row r="1281">
          <cell r="A1281" t="str">
            <v>Loan Status</v>
          </cell>
          <cell r="B1281" t="str">
            <v>FB</v>
          </cell>
        </row>
        <row r="1282">
          <cell r="A1282" t="str">
            <v>Loan Status Description</v>
          </cell>
          <cell r="B1282" t="str">
            <v>FORBEARANCE</v>
          </cell>
        </row>
        <row r="1283">
          <cell r="A1283" t="str">
            <v>Loan Status Effective Date</v>
          </cell>
          <cell r="B1283">
            <v>40812</v>
          </cell>
        </row>
        <row r="1284">
          <cell r="A1284" t="str">
            <v>Loan Status</v>
          </cell>
          <cell r="B1284" t="str">
            <v>FB</v>
          </cell>
        </row>
        <row r="1285">
          <cell r="A1285" t="str">
            <v>Loan Status Description</v>
          </cell>
          <cell r="B1285" t="str">
            <v>FORBEARANCE</v>
          </cell>
        </row>
        <row r="1286">
          <cell r="A1286" t="str">
            <v>Loan Status Effective Date</v>
          </cell>
          <cell r="B1286">
            <v>40628</v>
          </cell>
        </row>
        <row r="1287">
          <cell r="A1287" t="str">
            <v>Loan Status</v>
          </cell>
          <cell r="B1287" t="str">
            <v>DA</v>
          </cell>
        </row>
        <row r="1288">
          <cell r="A1288" t="str">
            <v>Loan Status Description</v>
          </cell>
          <cell r="B1288" t="str">
            <v>DEFERRED</v>
          </cell>
        </row>
        <row r="1289">
          <cell r="A1289" t="str">
            <v>Loan Status Effective Date</v>
          </cell>
          <cell r="B1289">
            <v>39562</v>
          </cell>
        </row>
        <row r="1290">
          <cell r="A1290" t="str">
            <v>Loan Status</v>
          </cell>
          <cell r="B1290" t="str">
            <v>IA</v>
          </cell>
        </row>
        <row r="1291">
          <cell r="A1291" t="str">
            <v>Loan Status Description</v>
          </cell>
          <cell r="B1291" t="str">
            <v>LOAN ORIGINATED</v>
          </cell>
        </row>
        <row r="1292">
          <cell r="A1292" t="str">
            <v>Loan Status Effective Date</v>
          </cell>
          <cell r="B1292">
            <v>39429</v>
          </cell>
        </row>
        <row r="1293">
          <cell r="A1293" t="str">
            <v>Loan Disbursement Date</v>
          </cell>
          <cell r="B1293">
            <v>39562</v>
          </cell>
        </row>
        <row r="1294">
          <cell r="A1294" t="str">
            <v>Loan Disbursement Amount</v>
          </cell>
          <cell r="B1294">
            <v>16150</v>
          </cell>
        </row>
        <row r="1295">
          <cell r="A1295" t="str">
            <v>Loan Disbursement Date</v>
          </cell>
          <cell r="B1295">
            <v>39436</v>
          </cell>
        </row>
        <row r="1296">
          <cell r="A1296" t="str">
            <v>Loan Disbursement Amount</v>
          </cell>
          <cell r="B1296">
            <v>16150</v>
          </cell>
        </row>
        <row r="1297">
          <cell r="A1297" t="str">
            <v>Loan Contact Type</v>
          </cell>
          <cell r="B1297" t="str">
            <v>Current Servicer</v>
          </cell>
        </row>
        <row r="1298">
          <cell r="A1298" t="str">
            <v>Loan Contact Name</v>
          </cell>
          <cell r="B1298" t="str">
            <v>NAVIENT SOLUTIONS, INC.</v>
          </cell>
        </row>
        <row r="1299">
          <cell r="A1299" t="str">
            <v>Loan Contact Street Address 1</v>
          </cell>
          <cell r="B1299" t="str">
            <v>220 LASLEY AVE</v>
          </cell>
        </row>
        <row r="1300">
          <cell r="A1300" t="str">
            <v>Loan Contact Street Address 2</v>
          </cell>
        </row>
        <row r="1301">
          <cell r="A1301" t="str">
            <v>Loan Contact City</v>
          </cell>
          <cell r="B1301" t="str">
            <v>WILKES-BARRE</v>
          </cell>
        </row>
        <row r="1302">
          <cell r="A1302" t="str">
            <v>Loan Contact State Code</v>
          </cell>
          <cell r="B1302" t="str">
            <v>PA</v>
          </cell>
        </row>
        <row r="1303">
          <cell r="A1303" t="str">
            <v>Loan Contact Zip Code</v>
          </cell>
          <cell r="B1303">
            <v>18706</v>
          </cell>
        </row>
        <row r="1304">
          <cell r="A1304" t="str">
            <v>Loan Contact Phone Number</v>
          </cell>
          <cell r="B1304" t="str">
            <v>888-272-5543</v>
          </cell>
        </row>
        <row r="1305">
          <cell r="A1305" t="str">
            <v>Loan Contact Phone Extension</v>
          </cell>
        </row>
        <row r="1306">
          <cell r="A1306" t="str">
            <v>Loan Contact Email Address</v>
          </cell>
        </row>
        <row r="1307">
          <cell r="A1307" t="str">
            <v>Loan Contact Web Site Address</v>
          </cell>
        </row>
        <row r="1308">
          <cell r="A1308" t="str">
            <v>Loan Contact Type</v>
          </cell>
          <cell r="B1308" t="str">
            <v>Current Lender</v>
          </cell>
        </row>
        <row r="1309">
          <cell r="A1309" t="str">
            <v>Loan Contact Name</v>
          </cell>
          <cell r="B1309" t="str">
            <v>DEUTSCHE BANK ELT NAVIENT &amp; SLM TRUSTS</v>
          </cell>
        </row>
        <row r="1310">
          <cell r="A1310" t="str">
            <v>Loan Contact Street Address 1</v>
          </cell>
          <cell r="B1310" t="str">
            <v>11600 SALLIE MAE DR,DEB SOUTHERLAND</v>
          </cell>
        </row>
        <row r="1311">
          <cell r="A1311" t="str">
            <v>Loan Contact Street Address 2</v>
          </cell>
        </row>
        <row r="1312">
          <cell r="A1312" t="str">
            <v>Loan Contact City</v>
          </cell>
          <cell r="B1312" t="str">
            <v>RESTON</v>
          </cell>
        </row>
        <row r="1313">
          <cell r="A1313" t="str">
            <v>Loan Contact State Code</v>
          </cell>
          <cell r="B1313" t="str">
            <v>VA</v>
          </cell>
        </row>
        <row r="1314">
          <cell r="A1314" t="str">
            <v>Loan Contact Zip Code</v>
          </cell>
          <cell r="B1314">
            <v>201930000</v>
          </cell>
        </row>
        <row r="1315">
          <cell r="A1315" t="str">
            <v>Loan Contact Phone Number</v>
          </cell>
          <cell r="B1315" t="str">
            <v>888-272-5543</v>
          </cell>
        </row>
        <row r="1316">
          <cell r="A1316" t="str">
            <v>Loan Contact Phone Extension</v>
          </cell>
        </row>
        <row r="1317">
          <cell r="A1317" t="str">
            <v>Loan Contact Email Address</v>
          </cell>
        </row>
        <row r="1318">
          <cell r="A1318" t="str">
            <v>Loan Contact Web Site Address</v>
          </cell>
        </row>
        <row r="1319">
          <cell r="A1319" t="str">
            <v>Loan Contact Type</v>
          </cell>
          <cell r="B1319" t="str">
            <v>Current Guaranty Agency</v>
          </cell>
        </row>
        <row r="1320">
          <cell r="A1320" t="str">
            <v>Loan Contact Name</v>
          </cell>
          <cell r="B1320" t="str">
            <v>USA FUNDS, INC.</v>
          </cell>
        </row>
        <row r="1321">
          <cell r="A1321" t="str">
            <v>Loan Contact Street Address 1</v>
          </cell>
          <cell r="B1321" t="str">
            <v>P.O. BOX 6180</v>
          </cell>
        </row>
        <row r="1322">
          <cell r="A1322" t="str">
            <v>Loan Contact Street Address 2</v>
          </cell>
        </row>
        <row r="1323">
          <cell r="A1323" t="str">
            <v>Loan Contact City</v>
          </cell>
          <cell r="B1323" t="str">
            <v>INDIANAPOLIS</v>
          </cell>
        </row>
        <row r="1324">
          <cell r="A1324" t="str">
            <v>Loan Contact State Code</v>
          </cell>
          <cell r="B1324" t="str">
            <v>IN</v>
          </cell>
        </row>
        <row r="1325">
          <cell r="A1325" t="str">
            <v>Loan Contact Zip Code</v>
          </cell>
          <cell r="B1325">
            <v>462066180</v>
          </cell>
        </row>
        <row r="1326">
          <cell r="A1326" t="str">
            <v>Loan Contact Phone Number</v>
          </cell>
        </row>
        <row r="1327">
          <cell r="A1327" t="str">
            <v>Loan Contact Phone Extension</v>
          </cell>
        </row>
        <row r="1328">
          <cell r="A1328" t="str">
            <v>Loan Contact Email Address</v>
          </cell>
        </row>
        <row r="1329">
          <cell r="A1329" t="str">
            <v>Loan Contact Web Site Address</v>
          </cell>
        </row>
        <row r="1330">
          <cell r="A1330" t="str">
            <v>Loan Type</v>
          </cell>
          <cell r="B1330" t="str">
            <v>FFEL PLUS GRADUATE</v>
          </cell>
        </row>
        <row r="1331">
          <cell r="A1331" t="str">
            <v>Loan Award ID</v>
          </cell>
        </row>
        <row r="1332">
          <cell r="A1332" t="str">
            <v>Loan Attending School Name</v>
          </cell>
          <cell r="B1332" t="str">
            <v>AMERICAN UNIVERSITY OF THE CARIBBEAN</v>
          </cell>
        </row>
        <row r="1333">
          <cell r="A1333" t="str">
            <v>Loan Attending School OPEID</v>
          </cell>
          <cell r="B1333">
            <v>2244400</v>
          </cell>
        </row>
        <row r="1334">
          <cell r="A1334" t="str">
            <v>Loan Date</v>
          </cell>
          <cell r="B1334">
            <v>39423</v>
          </cell>
        </row>
        <row r="1335">
          <cell r="A1335" t="str">
            <v>Loan Repayment Begin Date</v>
          </cell>
          <cell r="B1335">
            <v>39427</v>
          </cell>
        </row>
        <row r="1336">
          <cell r="A1336" t="str">
            <v>Loan Period Begin Date</v>
          </cell>
          <cell r="B1336">
            <v>39204</v>
          </cell>
        </row>
        <row r="1337">
          <cell r="A1337" t="str">
            <v>Loan Period End Date</v>
          </cell>
          <cell r="B1337">
            <v>39431</v>
          </cell>
        </row>
        <row r="1338">
          <cell r="A1338" t="str">
            <v>Loan Amount</v>
          </cell>
          <cell r="B1338">
            <v>1400</v>
          </cell>
        </row>
        <row r="1339">
          <cell r="A1339" t="str">
            <v>Loan Disbursed Amount</v>
          </cell>
          <cell r="B1339">
            <v>1400</v>
          </cell>
        </row>
        <row r="1340">
          <cell r="A1340" t="str">
            <v>Loan Canceled Amount</v>
          </cell>
          <cell r="B1340">
            <v>0</v>
          </cell>
        </row>
        <row r="1341">
          <cell r="A1341" t="str">
            <v>Loan Canceled Date</v>
          </cell>
        </row>
        <row r="1342">
          <cell r="A1342" t="str">
            <v>Loan Outstanding Principal Balance</v>
          </cell>
          <cell r="B1342">
            <v>2354</v>
          </cell>
        </row>
        <row r="1343">
          <cell r="A1343" t="str">
            <v>Loan Outstanding Principal Balance as of Date</v>
          </cell>
          <cell r="B1343">
            <v>42308</v>
          </cell>
        </row>
        <row r="1344">
          <cell r="A1344" t="str">
            <v>Loan Outstanding Interest Balance</v>
          </cell>
          <cell r="B1344">
            <v>260</v>
          </cell>
        </row>
        <row r="1345">
          <cell r="A1345" t="str">
            <v>Loan Outstanding Interest Balance as of Date</v>
          </cell>
          <cell r="B1345">
            <v>42308</v>
          </cell>
        </row>
        <row r="1346">
          <cell r="A1346" t="str">
            <v>Loan Interest Rate Type</v>
          </cell>
          <cell r="B1346" t="str">
            <v>FIXED</v>
          </cell>
        </row>
        <row r="1347">
          <cell r="A1347" t="str">
            <v>Loan Interest Rate</v>
          </cell>
          <cell r="B1347">
            <v>8.5000000000000006E-2</v>
          </cell>
        </row>
        <row r="1348">
          <cell r="A1348" t="str">
            <v>Loan Repayment Plan Begin Date</v>
          </cell>
        </row>
        <row r="1349">
          <cell r="A1349" t="str">
            <v>Loan Repayment Plan Scheduled Amount</v>
          </cell>
        </row>
        <row r="1350">
          <cell r="A1350" t="str">
            <v>Loan Confirmed Subsidy Status</v>
          </cell>
        </row>
        <row r="1351">
          <cell r="A1351" t="str">
            <v>Loan Subsidized Usage in Years</v>
          </cell>
        </row>
        <row r="1352">
          <cell r="A1352" t="str">
            <v>Loan Reaffirmation Date</v>
          </cell>
        </row>
        <row r="1353">
          <cell r="A1353" t="str">
            <v>Loan Status</v>
          </cell>
          <cell r="B1353" t="str">
            <v>RP</v>
          </cell>
        </row>
        <row r="1354">
          <cell r="A1354" t="str">
            <v>Loan Status Description</v>
          </cell>
          <cell r="B1354" t="str">
            <v>IN REPAYMENT</v>
          </cell>
        </row>
        <row r="1355">
          <cell r="A1355" t="str">
            <v>Loan Status Effective Date</v>
          </cell>
          <cell r="B1355">
            <v>40637</v>
          </cell>
        </row>
        <row r="1356">
          <cell r="A1356" t="str">
            <v>Loan Status</v>
          </cell>
          <cell r="B1356" t="str">
            <v>DA</v>
          </cell>
        </row>
        <row r="1357">
          <cell r="A1357" t="str">
            <v>Loan Status Description</v>
          </cell>
          <cell r="B1357" t="str">
            <v>DEFERRED</v>
          </cell>
        </row>
        <row r="1358">
          <cell r="A1358" t="str">
            <v>Loan Status Effective Date</v>
          </cell>
          <cell r="B1358">
            <v>39427</v>
          </cell>
        </row>
        <row r="1359">
          <cell r="A1359" t="str">
            <v>Loan Disbursement Date</v>
          </cell>
          <cell r="B1359">
            <v>39427</v>
          </cell>
        </row>
        <row r="1360">
          <cell r="A1360" t="str">
            <v>Loan Disbursement Amount</v>
          </cell>
          <cell r="B1360">
            <v>1400</v>
          </cell>
        </row>
        <row r="1361">
          <cell r="A1361" t="str">
            <v>Loan Contact Type</v>
          </cell>
          <cell r="B1361" t="str">
            <v>Current Servicer</v>
          </cell>
        </row>
        <row r="1362">
          <cell r="A1362" t="str">
            <v>Loan Contact Name</v>
          </cell>
          <cell r="B1362" t="str">
            <v>NAVIENT SOLUTIONS, INC.</v>
          </cell>
        </row>
        <row r="1363">
          <cell r="A1363" t="str">
            <v>Loan Contact Street Address 1</v>
          </cell>
          <cell r="B1363" t="str">
            <v>220 LASLEY AVE</v>
          </cell>
        </row>
        <row r="1364">
          <cell r="A1364" t="str">
            <v>Loan Contact Street Address 2</v>
          </cell>
        </row>
        <row r="1365">
          <cell r="A1365" t="str">
            <v>Loan Contact City</v>
          </cell>
          <cell r="B1365" t="str">
            <v>WILKES-BARRE</v>
          </cell>
        </row>
        <row r="1366">
          <cell r="A1366" t="str">
            <v>Loan Contact State Code</v>
          </cell>
          <cell r="B1366" t="str">
            <v>PA</v>
          </cell>
        </row>
        <row r="1367">
          <cell r="A1367" t="str">
            <v>Loan Contact Zip Code</v>
          </cell>
          <cell r="B1367">
            <v>18706</v>
          </cell>
        </row>
        <row r="1368">
          <cell r="A1368" t="str">
            <v>Loan Contact Phone Number</v>
          </cell>
          <cell r="B1368" t="str">
            <v>888-272-5543</v>
          </cell>
        </row>
        <row r="1369">
          <cell r="A1369" t="str">
            <v>Loan Contact Phone Extension</v>
          </cell>
        </row>
        <row r="1370">
          <cell r="A1370" t="str">
            <v>Loan Contact Email Address</v>
          </cell>
        </row>
        <row r="1371">
          <cell r="A1371" t="str">
            <v>Loan Contact Web Site Address</v>
          </cell>
        </row>
        <row r="1372">
          <cell r="A1372" t="str">
            <v>Loan Contact Type</v>
          </cell>
          <cell r="B1372" t="str">
            <v>Current Lender</v>
          </cell>
        </row>
        <row r="1373">
          <cell r="A1373" t="str">
            <v>Loan Contact Name</v>
          </cell>
          <cell r="B1373" t="str">
            <v>DEUTSCHE BANK ELT NAVIENT &amp; SLM TRUSTS</v>
          </cell>
        </row>
        <row r="1374">
          <cell r="A1374" t="str">
            <v>Loan Contact Street Address 1</v>
          </cell>
          <cell r="B1374" t="str">
            <v>11600 SALLIE MAE DR,DEB SOUTHERLAND</v>
          </cell>
        </row>
        <row r="1375">
          <cell r="A1375" t="str">
            <v>Loan Contact Street Address 2</v>
          </cell>
        </row>
        <row r="1376">
          <cell r="A1376" t="str">
            <v>Loan Contact City</v>
          </cell>
          <cell r="B1376" t="str">
            <v>RESTON</v>
          </cell>
        </row>
        <row r="1377">
          <cell r="A1377" t="str">
            <v>Loan Contact State Code</v>
          </cell>
          <cell r="B1377" t="str">
            <v>VA</v>
          </cell>
        </row>
        <row r="1378">
          <cell r="A1378" t="str">
            <v>Loan Contact Zip Code</v>
          </cell>
          <cell r="B1378">
            <v>201930000</v>
          </cell>
        </row>
        <row r="1379">
          <cell r="A1379" t="str">
            <v>Loan Contact Phone Number</v>
          </cell>
          <cell r="B1379" t="str">
            <v>888-272-5543</v>
          </cell>
        </row>
        <row r="1380">
          <cell r="A1380" t="str">
            <v>Loan Contact Phone Extension</v>
          </cell>
        </row>
        <row r="1381">
          <cell r="A1381" t="str">
            <v>Loan Contact Email Address</v>
          </cell>
        </row>
        <row r="1382">
          <cell r="A1382" t="str">
            <v>Loan Contact Web Site Address</v>
          </cell>
        </row>
        <row r="1383">
          <cell r="A1383" t="str">
            <v>Loan Contact Type</v>
          </cell>
          <cell r="B1383" t="str">
            <v>Current Guaranty Agency</v>
          </cell>
        </row>
        <row r="1384">
          <cell r="A1384" t="str">
            <v>Loan Contact Name</v>
          </cell>
          <cell r="B1384" t="str">
            <v>USA FUNDS, INC.</v>
          </cell>
        </row>
        <row r="1385">
          <cell r="A1385" t="str">
            <v>Loan Contact Street Address 1</v>
          </cell>
          <cell r="B1385" t="str">
            <v>P.O. BOX 6180</v>
          </cell>
        </row>
        <row r="1386">
          <cell r="A1386" t="str">
            <v>Loan Contact Street Address 2</v>
          </cell>
        </row>
        <row r="1387">
          <cell r="A1387" t="str">
            <v>Loan Contact City</v>
          </cell>
          <cell r="B1387" t="str">
            <v>INDIANAPOLIS</v>
          </cell>
        </row>
        <row r="1388">
          <cell r="A1388" t="str">
            <v>Loan Contact State Code</v>
          </cell>
          <cell r="B1388" t="str">
            <v>IN</v>
          </cell>
        </row>
        <row r="1389">
          <cell r="A1389" t="str">
            <v>Loan Contact Zip Code</v>
          </cell>
          <cell r="B1389">
            <v>462066180</v>
          </cell>
        </row>
        <row r="1390">
          <cell r="A1390" t="str">
            <v>Loan Contact Phone Number</v>
          </cell>
        </row>
        <row r="1391">
          <cell r="A1391" t="str">
            <v>Loan Contact Phone Extension</v>
          </cell>
        </row>
        <row r="1392">
          <cell r="A1392" t="str">
            <v>Loan Contact Email Address</v>
          </cell>
        </row>
        <row r="1393">
          <cell r="A1393" t="str">
            <v>Loan Contact Web Site Address</v>
          </cell>
        </row>
        <row r="1394">
          <cell r="A1394" t="str">
            <v>Loan Type</v>
          </cell>
          <cell r="B1394" t="str">
            <v>STAFFORD UNSUBSIDIZED</v>
          </cell>
        </row>
        <row r="1395">
          <cell r="A1395" t="str">
            <v>Loan Award ID</v>
          </cell>
        </row>
        <row r="1396">
          <cell r="A1396" t="str">
            <v>Loan Attending School Name</v>
          </cell>
          <cell r="B1396" t="str">
            <v>AMERICAN UNIVERSITY OF THE CARIBBEAN</v>
          </cell>
        </row>
        <row r="1397">
          <cell r="A1397" t="str">
            <v>Loan Attending School OPEID</v>
          </cell>
          <cell r="B1397">
            <v>2244400</v>
          </cell>
        </row>
        <row r="1398">
          <cell r="A1398" t="str">
            <v>Loan Date</v>
          </cell>
          <cell r="B1398">
            <v>39423</v>
          </cell>
        </row>
        <row r="1399">
          <cell r="A1399" t="str">
            <v>Loan Repayment Begin Date</v>
          </cell>
          <cell r="B1399">
            <v>40812</v>
          </cell>
        </row>
        <row r="1400">
          <cell r="A1400" t="str">
            <v>Loan Period Begin Date</v>
          </cell>
          <cell r="B1400">
            <v>39450</v>
          </cell>
        </row>
        <row r="1401">
          <cell r="A1401" t="str">
            <v>Loan Period End Date</v>
          </cell>
          <cell r="B1401">
            <v>39682</v>
          </cell>
        </row>
        <row r="1402">
          <cell r="A1402" t="str">
            <v>Loan Amount</v>
          </cell>
          <cell r="B1402">
            <v>12000</v>
          </cell>
        </row>
        <row r="1403">
          <cell r="A1403" t="str">
            <v>Loan Disbursed Amount</v>
          </cell>
          <cell r="B1403">
            <v>12000</v>
          </cell>
        </row>
        <row r="1404">
          <cell r="A1404" t="str">
            <v>Loan Canceled Amount</v>
          </cell>
          <cell r="B1404">
            <v>0</v>
          </cell>
        </row>
        <row r="1405">
          <cell r="A1405" t="str">
            <v>Loan Canceled Date</v>
          </cell>
        </row>
        <row r="1406">
          <cell r="A1406" t="str">
            <v>Loan Outstanding Principal Balance</v>
          </cell>
          <cell r="B1406">
            <v>17918</v>
          </cell>
        </row>
        <row r="1407">
          <cell r="A1407" t="str">
            <v>Loan Outstanding Principal Balance as of Date</v>
          </cell>
          <cell r="B1407">
            <v>42308</v>
          </cell>
        </row>
        <row r="1408">
          <cell r="A1408" t="str">
            <v>Loan Outstanding Interest Balance</v>
          </cell>
          <cell r="B1408">
            <v>1628</v>
          </cell>
        </row>
        <row r="1409">
          <cell r="A1409" t="str">
            <v>Loan Outstanding Interest Balance as of Date</v>
          </cell>
          <cell r="B1409">
            <v>42308</v>
          </cell>
        </row>
        <row r="1410">
          <cell r="A1410" t="str">
            <v>Loan Interest Rate Type</v>
          </cell>
          <cell r="B1410" t="str">
            <v>FIXED</v>
          </cell>
        </row>
        <row r="1411">
          <cell r="A1411" t="str">
            <v>Loan Interest Rate</v>
          </cell>
          <cell r="B1411">
            <v>6.8000000000000005E-2</v>
          </cell>
        </row>
        <row r="1412">
          <cell r="A1412" t="str">
            <v>Loan Repayment Plan Begin Date</v>
          </cell>
        </row>
        <row r="1413">
          <cell r="A1413" t="str">
            <v>Loan Repayment Plan Scheduled Amount</v>
          </cell>
        </row>
        <row r="1414">
          <cell r="A1414" t="str">
            <v>Loan Confirmed Subsidy Status</v>
          </cell>
        </row>
        <row r="1415">
          <cell r="A1415" t="str">
            <v>Loan Subsidized Usage in Years</v>
          </cell>
        </row>
        <row r="1416">
          <cell r="A1416" t="str">
            <v>Loan Reaffirmation Date</v>
          </cell>
        </row>
        <row r="1417">
          <cell r="A1417" t="str">
            <v>Loan Status</v>
          </cell>
          <cell r="B1417" t="str">
            <v>DA</v>
          </cell>
        </row>
        <row r="1418">
          <cell r="A1418" t="str">
            <v>Loan Status Description</v>
          </cell>
          <cell r="B1418" t="str">
            <v>DEFERRED</v>
          </cell>
        </row>
        <row r="1419">
          <cell r="A1419" t="str">
            <v>Loan Status Effective Date</v>
          </cell>
          <cell r="B1419">
            <v>41821</v>
          </cell>
        </row>
        <row r="1420">
          <cell r="A1420" t="str">
            <v>Loan Status</v>
          </cell>
          <cell r="B1420" t="str">
            <v>RP</v>
          </cell>
        </row>
        <row r="1421">
          <cell r="A1421" t="str">
            <v>Loan Status Description</v>
          </cell>
          <cell r="B1421" t="str">
            <v>IN REPAYMENT</v>
          </cell>
        </row>
        <row r="1422">
          <cell r="A1422" t="str">
            <v>Loan Status Effective Date</v>
          </cell>
          <cell r="B1422">
            <v>41813</v>
          </cell>
        </row>
        <row r="1423">
          <cell r="A1423" t="str">
            <v>Loan Status</v>
          </cell>
          <cell r="B1423" t="str">
            <v>FB</v>
          </cell>
        </row>
        <row r="1424">
          <cell r="A1424" t="str">
            <v>Loan Status Description</v>
          </cell>
          <cell r="B1424" t="str">
            <v>FORBEARANCE</v>
          </cell>
        </row>
        <row r="1425">
          <cell r="A1425" t="str">
            <v>Loan Status Effective Date</v>
          </cell>
          <cell r="B1425">
            <v>41543</v>
          </cell>
        </row>
        <row r="1426">
          <cell r="A1426" t="str">
            <v>Loan Status</v>
          </cell>
          <cell r="B1426" t="str">
            <v>RP</v>
          </cell>
        </row>
        <row r="1427">
          <cell r="A1427" t="str">
            <v>Loan Status Description</v>
          </cell>
          <cell r="B1427" t="str">
            <v>IN REPAYMENT</v>
          </cell>
        </row>
        <row r="1428">
          <cell r="A1428" t="str">
            <v>Loan Status Effective Date</v>
          </cell>
          <cell r="B1428">
            <v>41178</v>
          </cell>
        </row>
        <row r="1429">
          <cell r="A1429" t="str">
            <v>Loan Status</v>
          </cell>
          <cell r="B1429" t="str">
            <v>FB</v>
          </cell>
        </row>
        <row r="1430">
          <cell r="A1430" t="str">
            <v>Loan Status Description</v>
          </cell>
          <cell r="B1430" t="str">
            <v>FORBEARANCE</v>
          </cell>
        </row>
        <row r="1431">
          <cell r="A1431" t="str">
            <v>Loan Status Effective Date</v>
          </cell>
          <cell r="B1431">
            <v>40815</v>
          </cell>
        </row>
        <row r="1432">
          <cell r="A1432" t="str">
            <v>Loan Status</v>
          </cell>
          <cell r="B1432" t="str">
            <v>IG</v>
          </cell>
        </row>
        <row r="1433">
          <cell r="A1433" t="str">
            <v>Loan Status Description</v>
          </cell>
          <cell r="B1433" t="str">
            <v>IN GRACE PERIOD</v>
          </cell>
        </row>
        <row r="1434">
          <cell r="A1434" t="str">
            <v>Loan Status Effective Date</v>
          </cell>
          <cell r="B1434">
            <v>40628</v>
          </cell>
        </row>
        <row r="1435">
          <cell r="A1435" t="str">
            <v>Loan Status</v>
          </cell>
          <cell r="B1435" t="str">
            <v>IA</v>
          </cell>
        </row>
        <row r="1436">
          <cell r="A1436" t="str">
            <v>Loan Status Description</v>
          </cell>
          <cell r="B1436" t="str">
            <v>LOAN ORIGINATED</v>
          </cell>
        </row>
        <row r="1437">
          <cell r="A1437" t="str">
            <v>Loan Status Effective Date</v>
          </cell>
          <cell r="B1437">
            <v>39423</v>
          </cell>
        </row>
        <row r="1438">
          <cell r="A1438" t="str">
            <v>Loan Disbursement Date</v>
          </cell>
          <cell r="B1438">
            <v>39562</v>
          </cell>
        </row>
        <row r="1439">
          <cell r="A1439" t="str">
            <v>Loan Disbursement Amount</v>
          </cell>
          <cell r="B1439">
            <v>6000</v>
          </cell>
        </row>
        <row r="1440">
          <cell r="A1440" t="str">
            <v>Loan Disbursement Date</v>
          </cell>
          <cell r="B1440">
            <v>39436</v>
          </cell>
        </row>
        <row r="1441">
          <cell r="A1441" t="str">
            <v>Loan Disbursement Amount</v>
          </cell>
          <cell r="B1441">
            <v>6000</v>
          </cell>
        </row>
        <row r="1442">
          <cell r="A1442" t="str">
            <v>Loan Contact Type</v>
          </cell>
          <cell r="B1442" t="str">
            <v>Current Servicer</v>
          </cell>
        </row>
        <row r="1443">
          <cell r="A1443" t="str">
            <v>Loan Contact Name</v>
          </cell>
          <cell r="B1443" t="str">
            <v>NAVIENT SOLUTIONS, INC.</v>
          </cell>
        </row>
        <row r="1444">
          <cell r="A1444" t="str">
            <v>Loan Contact Street Address 1</v>
          </cell>
          <cell r="B1444" t="str">
            <v>220 LASLEY AVE</v>
          </cell>
        </row>
        <row r="1445">
          <cell r="A1445" t="str">
            <v>Loan Contact Street Address 2</v>
          </cell>
        </row>
        <row r="1446">
          <cell r="A1446" t="str">
            <v>Loan Contact City</v>
          </cell>
          <cell r="B1446" t="str">
            <v>WILKES-BARRE</v>
          </cell>
        </row>
        <row r="1447">
          <cell r="A1447" t="str">
            <v>Loan Contact State Code</v>
          </cell>
          <cell r="B1447" t="str">
            <v>PA</v>
          </cell>
        </row>
        <row r="1448">
          <cell r="A1448" t="str">
            <v>Loan Contact Zip Code</v>
          </cell>
          <cell r="B1448">
            <v>18706</v>
          </cell>
        </row>
        <row r="1449">
          <cell r="A1449" t="str">
            <v>Loan Contact Phone Number</v>
          </cell>
          <cell r="B1449" t="str">
            <v>888-272-5543</v>
          </cell>
        </row>
        <row r="1450">
          <cell r="A1450" t="str">
            <v>Loan Contact Phone Extension</v>
          </cell>
        </row>
        <row r="1451">
          <cell r="A1451" t="str">
            <v>Loan Contact Email Address</v>
          </cell>
        </row>
        <row r="1452">
          <cell r="A1452" t="str">
            <v>Loan Contact Web Site Address</v>
          </cell>
        </row>
        <row r="1453">
          <cell r="A1453" t="str">
            <v>Loan Contact Type</v>
          </cell>
          <cell r="B1453" t="str">
            <v>Current Lender</v>
          </cell>
        </row>
        <row r="1454">
          <cell r="A1454" t="str">
            <v>Loan Contact Name</v>
          </cell>
          <cell r="B1454" t="str">
            <v>DEUTSCHE BANK ELT NAVIENT &amp; SLM TRUSTS</v>
          </cell>
        </row>
        <row r="1455">
          <cell r="A1455" t="str">
            <v>Loan Contact Street Address 1</v>
          </cell>
          <cell r="B1455" t="str">
            <v>11600 SALLIE MAE DR,DEB SOUTHERLAND</v>
          </cell>
        </row>
        <row r="1456">
          <cell r="A1456" t="str">
            <v>Loan Contact Street Address 2</v>
          </cell>
        </row>
        <row r="1457">
          <cell r="A1457" t="str">
            <v>Loan Contact City</v>
          </cell>
          <cell r="B1457" t="str">
            <v>RESTON</v>
          </cell>
        </row>
        <row r="1458">
          <cell r="A1458" t="str">
            <v>Loan Contact State Code</v>
          </cell>
          <cell r="B1458" t="str">
            <v>VA</v>
          </cell>
        </row>
        <row r="1459">
          <cell r="A1459" t="str">
            <v>Loan Contact Zip Code</v>
          </cell>
          <cell r="B1459">
            <v>201930000</v>
          </cell>
        </row>
        <row r="1460">
          <cell r="A1460" t="str">
            <v>Loan Contact Phone Number</v>
          </cell>
          <cell r="B1460" t="str">
            <v>888-272-5543</v>
          </cell>
        </row>
        <row r="1461">
          <cell r="A1461" t="str">
            <v>Loan Contact Phone Extension</v>
          </cell>
        </row>
        <row r="1462">
          <cell r="A1462" t="str">
            <v>Loan Contact Email Address</v>
          </cell>
        </row>
        <row r="1463">
          <cell r="A1463" t="str">
            <v>Loan Contact Web Site Address</v>
          </cell>
        </row>
        <row r="1464">
          <cell r="A1464" t="str">
            <v>Loan Contact Type</v>
          </cell>
          <cell r="B1464" t="str">
            <v>Current Guaranty Agency</v>
          </cell>
        </row>
        <row r="1465">
          <cell r="A1465" t="str">
            <v>Loan Contact Name</v>
          </cell>
          <cell r="B1465" t="str">
            <v>USA FUNDS, INC.</v>
          </cell>
        </row>
        <row r="1466">
          <cell r="A1466" t="str">
            <v>Loan Contact Street Address 1</v>
          </cell>
          <cell r="B1466" t="str">
            <v>P.O. BOX 6180</v>
          </cell>
        </row>
        <row r="1467">
          <cell r="A1467" t="str">
            <v>Loan Contact Street Address 2</v>
          </cell>
        </row>
        <row r="1468">
          <cell r="A1468" t="str">
            <v>Loan Contact City</v>
          </cell>
          <cell r="B1468" t="str">
            <v>INDIANAPOLIS</v>
          </cell>
        </row>
        <row r="1469">
          <cell r="A1469" t="str">
            <v>Loan Contact State Code</v>
          </cell>
          <cell r="B1469" t="str">
            <v>IN</v>
          </cell>
        </row>
        <row r="1470">
          <cell r="A1470" t="str">
            <v>Loan Contact Zip Code</v>
          </cell>
          <cell r="B1470">
            <v>462066180</v>
          </cell>
        </row>
        <row r="1471">
          <cell r="A1471" t="str">
            <v>Loan Contact Phone Number</v>
          </cell>
        </row>
        <row r="1472">
          <cell r="A1472" t="str">
            <v>Loan Contact Phone Extension</v>
          </cell>
        </row>
        <row r="1473">
          <cell r="A1473" t="str">
            <v>Loan Contact Email Address</v>
          </cell>
        </row>
        <row r="1474">
          <cell r="A1474" t="str">
            <v>Loan Contact Web Site Address</v>
          </cell>
        </row>
        <row r="1475">
          <cell r="A1475" t="str">
            <v>Loan Type</v>
          </cell>
          <cell r="B1475" t="str">
            <v>STAFFORD SUBSIDIZED</v>
          </cell>
        </row>
        <row r="1476">
          <cell r="A1476" t="str">
            <v>Loan Award ID</v>
          </cell>
        </row>
        <row r="1477">
          <cell r="A1477" t="str">
            <v>Loan Attending School Name</v>
          </cell>
          <cell r="B1477" t="str">
            <v>AMERICAN UNIVERSITY OF THE CARIBBEAN</v>
          </cell>
        </row>
        <row r="1478">
          <cell r="A1478" t="str">
            <v>Loan Attending School OPEID</v>
          </cell>
          <cell r="B1478">
            <v>2244400</v>
          </cell>
        </row>
        <row r="1479">
          <cell r="A1479" t="str">
            <v>Loan Date</v>
          </cell>
          <cell r="B1479">
            <v>39423</v>
          </cell>
        </row>
        <row r="1480">
          <cell r="A1480" t="str">
            <v>Loan Repayment Begin Date</v>
          </cell>
          <cell r="B1480">
            <v>40812</v>
          </cell>
        </row>
        <row r="1481">
          <cell r="A1481" t="str">
            <v>Loan Period Begin Date</v>
          </cell>
          <cell r="B1481">
            <v>39450</v>
          </cell>
        </row>
        <row r="1482">
          <cell r="A1482" t="str">
            <v>Loan Period End Date</v>
          </cell>
          <cell r="B1482">
            <v>39682</v>
          </cell>
        </row>
        <row r="1483">
          <cell r="A1483" t="str">
            <v>Loan Amount</v>
          </cell>
          <cell r="B1483">
            <v>8500</v>
          </cell>
        </row>
        <row r="1484">
          <cell r="A1484" t="str">
            <v>Loan Disbursed Amount</v>
          </cell>
          <cell r="B1484">
            <v>8500</v>
          </cell>
        </row>
        <row r="1485">
          <cell r="A1485" t="str">
            <v>Loan Canceled Amount</v>
          </cell>
          <cell r="B1485">
            <v>0</v>
          </cell>
        </row>
        <row r="1486">
          <cell r="A1486" t="str">
            <v>Loan Canceled Date</v>
          </cell>
        </row>
        <row r="1487">
          <cell r="A1487" t="str">
            <v>Loan Outstanding Principal Balance</v>
          </cell>
          <cell r="B1487">
            <v>10199</v>
          </cell>
        </row>
        <row r="1488">
          <cell r="A1488" t="str">
            <v>Loan Outstanding Principal Balance as of Date</v>
          </cell>
          <cell r="B1488">
            <v>42308</v>
          </cell>
        </row>
        <row r="1489">
          <cell r="A1489" t="str">
            <v>Loan Outstanding Interest Balance</v>
          </cell>
          <cell r="B1489">
            <v>1</v>
          </cell>
        </row>
        <row r="1490">
          <cell r="A1490" t="str">
            <v>Loan Outstanding Interest Balance as of Date</v>
          </cell>
          <cell r="B1490">
            <v>42308</v>
          </cell>
        </row>
        <row r="1491">
          <cell r="A1491" t="str">
            <v>Loan Interest Rate Type</v>
          </cell>
          <cell r="B1491" t="str">
            <v>FIXED</v>
          </cell>
        </row>
        <row r="1492">
          <cell r="A1492" t="str">
            <v>Loan Interest Rate</v>
          </cell>
          <cell r="B1492">
            <v>6.8000000000000005E-2</v>
          </cell>
        </row>
        <row r="1493">
          <cell r="A1493" t="str">
            <v>Loan Repayment Plan Begin Date</v>
          </cell>
        </row>
        <row r="1494">
          <cell r="A1494" t="str">
            <v>Loan Repayment Plan Scheduled Amount</v>
          </cell>
        </row>
        <row r="1495">
          <cell r="A1495" t="str">
            <v>Loan Confirmed Subsidy Status</v>
          </cell>
        </row>
        <row r="1496">
          <cell r="A1496" t="str">
            <v>Loan Subsidized Usage in Years</v>
          </cell>
        </row>
        <row r="1497">
          <cell r="A1497" t="str">
            <v>Loan Reaffirmation Date</v>
          </cell>
        </row>
        <row r="1498">
          <cell r="A1498" t="str">
            <v>Loan Status</v>
          </cell>
          <cell r="B1498" t="str">
            <v>DA</v>
          </cell>
        </row>
        <row r="1499">
          <cell r="A1499" t="str">
            <v>Loan Status Description</v>
          </cell>
          <cell r="B1499" t="str">
            <v>DEFERRED</v>
          </cell>
        </row>
        <row r="1500">
          <cell r="A1500" t="str">
            <v>Loan Status Effective Date</v>
          </cell>
          <cell r="B1500">
            <v>41821</v>
          </cell>
        </row>
        <row r="1501">
          <cell r="A1501" t="str">
            <v>Loan Status</v>
          </cell>
          <cell r="B1501" t="str">
            <v>RP</v>
          </cell>
        </row>
        <row r="1502">
          <cell r="A1502" t="str">
            <v>Loan Status Description</v>
          </cell>
          <cell r="B1502" t="str">
            <v>IN REPAYMENT</v>
          </cell>
        </row>
        <row r="1503">
          <cell r="A1503" t="str">
            <v>Loan Status Effective Date</v>
          </cell>
          <cell r="B1503">
            <v>41813</v>
          </cell>
        </row>
        <row r="1504">
          <cell r="A1504" t="str">
            <v>Loan Status</v>
          </cell>
          <cell r="B1504" t="str">
            <v>FB</v>
          </cell>
        </row>
        <row r="1505">
          <cell r="A1505" t="str">
            <v>Loan Status Description</v>
          </cell>
          <cell r="B1505" t="str">
            <v>FORBEARANCE</v>
          </cell>
        </row>
        <row r="1506">
          <cell r="A1506" t="str">
            <v>Loan Status Effective Date</v>
          </cell>
          <cell r="B1506">
            <v>41543</v>
          </cell>
        </row>
        <row r="1507">
          <cell r="A1507" t="str">
            <v>Loan Status</v>
          </cell>
          <cell r="B1507" t="str">
            <v>RP</v>
          </cell>
        </row>
        <row r="1508">
          <cell r="A1508" t="str">
            <v>Loan Status Description</v>
          </cell>
          <cell r="B1508" t="str">
            <v>IN REPAYMENT</v>
          </cell>
        </row>
        <row r="1509">
          <cell r="A1509" t="str">
            <v>Loan Status Effective Date</v>
          </cell>
          <cell r="B1509">
            <v>41178</v>
          </cell>
        </row>
        <row r="1510">
          <cell r="A1510" t="str">
            <v>Loan Status</v>
          </cell>
          <cell r="B1510" t="str">
            <v>FB</v>
          </cell>
        </row>
        <row r="1511">
          <cell r="A1511" t="str">
            <v>Loan Status Description</v>
          </cell>
          <cell r="B1511" t="str">
            <v>FORBEARANCE</v>
          </cell>
        </row>
        <row r="1512">
          <cell r="A1512" t="str">
            <v>Loan Status Effective Date</v>
          </cell>
          <cell r="B1512">
            <v>40815</v>
          </cell>
        </row>
        <row r="1513">
          <cell r="A1513" t="str">
            <v>Loan Status</v>
          </cell>
          <cell r="B1513" t="str">
            <v>IG</v>
          </cell>
        </row>
        <row r="1514">
          <cell r="A1514" t="str">
            <v>Loan Status Description</v>
          </cell>
          <cell r="B1514" t="str">
            <v>IN GRACE PERIOD</v>
          </cell>
        </row>
        <row r="1515">
          <cell r="A1515" t="str">
            <v>Loan Status Effective Date</v>
          </cell>
          <cell r="B1515">
            <v>40628</v>
          </cell>
        </row>
        <row r="1516">
          <cell r="A1516" t="str">
            <v>Loan Status</v>
          </cell>
          <cell r="B1516" t="str">
            <v>IA</v>
          </cell>
        </row>
        <row r="1517">
          <cell r="A1517" t="str">
            <v>Loan Status Description</v>
          </cell>
          <cell r="B1517" t="str">
            <v>LOAN ORIGINATED</v>
          </cell>
        </row>
        <row r="1518">
          <cell r="A1518" t="str">
            <v>Loan Status Effective Date</v>
          </cell>
          <cell r="B1518">
            <v>39423</v>
          </cell>
        </row>
        <row r="1519">
          <cell r="A1519" t="str">
            <v>Loan Disbursement Date</v>
          </cell>
          <cell r="B1519">
            <v>39562</v>
          </cell>
        </row>
        <row r="1520">
          <cell r="A1520" t="str">
            <v>Loan Disbursement Amount</v>
          </cell>
          <cell r="B1520">
            <v>4250</v>
          </cell>
        </row>
        <row r="1521">
          <cell r="A1521" t="str">
            <v>Loan Disbursement Date</v>
          </cell>
          <cell r="B1521">
            <v>39436</v>
          </cell>
        </row>
        <row r="1522">
          <cell r="A1522" t="str">
            <v>Loan Disbursement Amount</v>
          </cell>
          <cell r="B1522">
            <v>4250</v>
          </cell>
        </row>
        <row r="1523">
          <cell r="A1523" t="str">
            <v>Loan Contact Type</v>
          </cell>
          <cell r="B1523" t="str">
            <v>Current Servicer</v>
          </cell>
        </row>
        <row r="1524">
          <cell r="A1524" t="str">
            <v>Loan Contact Name</v>
          </cell>
          <cell r="B1524" t="str">
            <v>NAVIENT SOLUTIONS, INC.</v>
          </cell>
        </row>
        <row r="1525">
          <cell r="A1525" t="str">
            <v>Loan Contact Street Address 1</v>
          </cell>
          <cell r="B1525" t="str">
            <v>220 LASLEY AVE</v>
          </cell>
        </row>
        <row r="1526">
          <cell r="A1526" t="str">
            <v>Loan Contact Street Address 2</v>
          </cell>
        </row>
        <row r="1527">
          <cell r="A1527" t="str">
            <v>Loan Contact City</v>
          </cell>
          <cell r="B1527" t="str">
            <v>WILKES-BARRE</v>
          </cell>
        </row>
        <row r="1528">
          <cell r="A1528" t="str">
            <v>Loan Contact State Code</v>
          </cell>
          <cell r="B1528" t="str">
            <v>PA</v>
          </cell>
        </row>
        <row r="1529">
          <cell r="A1529" t="str">
            <v>Loan Contact Zip Code</v>
          </cell>
          <cell r="B1529">
            <v>18706</v>
          </cell>
        </row>
        <row r="1530">
          <cell r="A1530" t="str">
            <v>Loan Contact Phone Number</v>
          </cell>
          <cell r="B1530" t="str">
            <v>888-272-5543</v>
          </cell>
        </row>
        <row r="1531">
          <cell r="A1531" t="str">
            <v>Loan Contact Phone Extension</v>
          </cell>
        </row>
        <row r="1532">
          <cell r="A1532" t="str">
            <v>Loan Contact Email Address</v>
          </cell>
        </row>
        <row r="1533">
          <cell r="A1533" t="str">
            <v>Loan Contact Web Site Address</v>
          </cell>
        </row>
        <row r="1534">
          <cell r="A1534" t="str">
            <v>Loan Contact Type</v>
          </cell>
          <cell r="B1534" t="str">
            <v>Current Lender</v>
          </cell>
        </row>
        <row r="1535">
          <cell r="A1535" t="str">
            <v>Loan Contact Name</v>
          </cell>
          <cell r="B1535" t="str">
            <v>DEUTSCHE BANK ELT NAVIENT &amp; SLM TRUSTS</v>
          </cell>
        </row>
        <row r="1536">
          <cell r="A1536" t="str">
            <v>Loan Contact Street Address 1</v>
          </cell>
          <cell r="B1536" t="str">
            <v>11600 SALLIE MAE DR,DEB SOUTHERLAND</v>
          </cell>
        </row>
        <row r="1537">
          <cell r="A1537" t="str">
            <v>Loan Contact Street Address 2</v>
          </cell>
        </row>
        <row r="1538">
          <cell r="A1538" t="str">
            <v>Loan Contact City</v>
          </cell>
          <cell r="B1538" t="str">
            <v>RESTON</v>
          </cell>
        </row>
        <row r="1539">
          <cell r="A1539" t="str">
            <v>Loan Contact State Code</v>
          </cell>
          <cell r="B1539" t="str">
            <v>VA</v>
          </cell>
        </row>
        <row r="1540">
          <cell r="A1540" t="str">
            <v>Loan Contact Zip Code</v>
          </cell>
          <cell r="B1540">
            <v>201930000</v>
          </cell>
        </row>
        <row r="1541">
          <cell r="A1541" t="str">
            <v>Loan Contact Phone Number</v>
          </cell>
          <cell r="B1541" t="str">
            <v>888-272-5543</v>
          </cell>
        </row>
        <row r="1542">
          <cell r="A1542" t="str">
            <v>Loan Contact Phone Extension</v>
          </cell>
        </row>
        <row r="1543">
          <cell r="A1543" t="str">
            <v>Loan Contact Email Address</v>
          </cell>
        </row>
        <row r="1544">
          <cell r="A1544" t="str">
            <v>Loan Contact Web Site Address</v>
          </cell>
        </row>
        <row r="1545">
          <cell r="A1545" t="str">
            <v>Loan Contact Type</v>
          </cell>
          <cell r="B1545" t="str">
            <v>Current Guaranty Agency</v>
          </cell>
        </row>
        <row r="1546">
          <cell r="A1546" t="str">
            <v>Loan Contact Name</v>
          </cell>
          <cell r="B1546" t="str">
            <v>USA FUNDS, INC.</v>
          </cell>
        </row>
        <row r="1547">
          <cell r="A1547" t="str">
            <v>Loan Contact Street Address 1</v>
          </cell>
          <cell r="B1547" t="str">
            <v>P.O. BOX 6180</v>
          </cell>
        </row>
        <row r="1548">
          <cell r="A1548" t="str">
            <v>Loan Contact Street Address 2</v>
          </cell>
        </row>
        <row r="1549">
          <cell r="A1549" t="str">
            <v>Loan Contact City</v>
          </cell>
          <cell r="B1549" t="str">
            <v>INDIANAPOLIS</v>
          </cell>
        </row>
        <row r="1550">
          <cell r="A1550" t="str">
            <v>Loan Contact State Code</v>
          </cell>
          <cell r="B1550" t="str">
            <v>IN</v>
          </cell>
        </row>
        <row r="1551">
          <cell r="A1551" t="str">
            <v>Loan Contact Zip Code</v>
          </cell>
          <cell r="B1551">
            <v>462066180</v>
          </cell>
        </row>
        <row r="1552">
          <cell r="A1552" t="str">
            <v>Loan Contact Phone Number</v>
          </cell>
        </row>
        <row r="1553">
          <cell r="A1553" t="str">
            <v>Loan Contact Phone Extension</v>
          </cell>
        </row>
        <row r="1554">
          <cell r="A1554" t="str">
            <v>Loan Contact Email Address</v>
          </cell>
        </row>
        <row r="1555">
          <cell r="A1555" t="str">
            <v>Loan Contact Web Site Address</v>
          </cell>
        </row>
        <row r="1556">
          <cell r="A1556" t="str">
            <v>Loan Type</v>
          </cell>
          <cell r="B1556" t="str">
            <v>FFEL PLUS GRADUATE</v>
          </cell>
        </row>
        <row r="1557">
          <cell r="A1557" t="str">
            <v>Loan Award ID</v>
          </cell>
        </row>
        <row r="1558">
          <cell r="A1558" t="str">
            <v>Loan Attending School Name</v>
          </cell>
          <cell r="B1558" t="str">
            <v>AMERICAN UNIVERSITY OF THE CARIBBEAN</v>
          </cell>
        </row>
        <row r="1559">
          <cell r="A1559" t="str">
            <v>Loan Attending School OPEID</v>
          </cell>
          <cell r="B1559">
            <v>2244400</v>
          </cell>
        </row>
        <row r="1560">
          <cell r="A1560" t="str">
            <v>Loan Date</v>
          </cell>
          <cell r="B1560">
            <v>39175</v>
          </cell>
        </row>
        <row r="1561">
          <cell r="A1561" t="str">
            <v>Loan Repayment Begin Date</v>
          </cell>
          <cell r="B1561">
            <v>39314</v>
          </cell>
        </row>
        <row r="1562">
          <cell r="A1562" t="str">
            <v>Loan Period Begin Date</v>
          </cell>
          <cell r="B1562">
            <v>39204</v>
          </cell>
        </row>
        <row r="1563">
          <cell r="A1563" t="str">
            <v>Loan Period End Date</v>
          </cell>
          <cell r="B1563">
            <v>39431</v>
          </cell>
        </row>
        <row r="1564">
          <cell r="A1564" t="str">
            <v>Loan Amount</v>
          </cell>
          <cell r="B1564">
            <v>33500</v>
          </cell>
        </row>
        <row r="1565">
          <cell r="A1565" t="str">
            <v>Loan Disbursed Amount</v>
          </cell>
          <cell r="B1565">
            <v>33500</v>
          </cell>
        </row>
        <row r="1566">
          <cell r="A1566" t="str">
            <v>Loan Canceled Amount</v>
          </cell>
          <cell r="B1566">
            <v>0</v>
          </cell>
        </row>
        <row r="1567">
          <cell r="A1567" t="str">
            <v>Loan Canceled Date</v>
          </cell>
        </row>
        <row r="1568">
          <cell r="A1568" t="str">
            <v>Loan Outstanding Principal Balance</v>
          </cell>
          <cell r="B1568">
            <v>58352</v>
          </cell>
        </row>
        <row r="1569">
          <cell r="A1569" t="str">
            <v>Loan Outstanding Principal Balance as of Date</v>
          </cell>
          <cell r="B1569">
            <v>42308</v>
          </cell>
        </row>
        <row r="1570">
          <cell r="A1570" t="str">
            <v>Loan Outstanding Interest Balance</v>
          </cell>
          <cell r="B1570">
            <v>6432</v>
          </cell>
        </row>
        <row r="1571">
          <cell r="A1571" t="str">
            <v>Loan Outstanding Interest Balance as of Date</v>
          </cell>
          <cell r="B1571">
            <v>42308</v>
          </cell>
        </row>
        <row r="1572">
          <cell r="A1572" t="str">
            <v>Loan Interest Rate Type</v>
          </cell>
          <cell r="B1572" t="str">
            <v>FIXED</v>
          </cell>
        </row>
        <row r="1573">
          <cell r="A1573" t="str">
            <v>Loan Interest Rate</v>
          </cell>
          <cell r="B1573">
            <v>8.5000000000000006E-2</v>
          </cell>
        </row>
        <row r="1574">
          <cell r="A1574" t="str">
            <v>Loan Repayment Plan Begin Date</v>
          </cell>
        </row>
        <row r="1575">
          <cell r="A1575" t="str">
            <v>Loan Repayment Plan Scheduled Amount</v>
          </cell>
        </row>
        <row r="1576">
          <cell r="A1576" t="str">
            <v>Loan Confirmed Subsidy Status</v>
          </cell>
        </row>
        <row r="1577">
          <cell r="A1577" t="str">
            <v>Loan Subsidized Usage in Years</v>
          </cell>
        </row>
        <row r="1578">
          <cell r="A1578" t="str">
            <v>Loan Reaffirmation Date</v>
          </cell>
        </row>
        <row r="1579">
          <cell r="A1579" t="str">
            <v>Loan Status</v>
          </cell>
          <cell r="B1579" t="str">
            <v>DA</v>
          </cell>
        </row>
        <row r="1580">
          <cell r="A1580" t="str">
            <v>Loan Status Description</v>
          </cell>
          <cell r="B1580" t="str">
            <v>DEFERRED</v>
          </cell>
        </row>
        <row r="1581">
          <cell r="A1581" t="str">
            <v>Loan Status Effective Date</v>
          </cell>
          <cell r="B1581">
            <v>41821</v>
          </cell>
        </row>
        <row r="1582">
          <cell r="A1582" t="str">
            <v>Loan Status</v>
          </cell>
          <cell r="B1582" t="str">
            <v>RP</v>
          </cell>
        </row>
        <row r="1583">
          <cell r="A1583" t="str">
            <v>Loan Status Description</v>
          </cell>
          <cell r="B1583" t="str">
            <v>IN REPAYMENT</v>
          </cell>
        </row>
        <row r="1584">
          <cell r="A1584" t="str">
            <v>Loan Status Effective Date</v>
          </cell>
          <cell r="B1584">
            <v>41806</v>
          </cell>
        </row>
        <row r="1585">
          <cell r="A1585" t="str">
            <v>Loan Status</v>
          </cell>
          <cell r="B1585" t="str">
            <v>FB</v>
          </cell>
        </row>
        <row r="1586">
          <cell r="A1586" t="str">
            <v>Loan Status Description</v>
          </cell>
          <cell r="B1586" t="str">
            <v>FORBEARANCE</v>
          </cell>
        </row>
        <row r="1587">
          <cell r="A1587" t="str">
            <v>Loan Status Effective Date</v>
          </cell>
          <cell r="B1587">
            <v>41441</v>
          </cell>
        </row>
        <row r="1588">
          <cell r="A1588" t="str">
            <v>Loan Status</v>
          </cell>
          <cell r="B1588" t="str">
            <v>RP</v>
          </cell>
        </row>
        <row r="1589">
          <cell r="A1589" t="str">
            <v>Loan Status Description</v>
          </cell>
          <cell r="B1589" t="str">
            <v>IN REPAYMENT</v>
          </cell>
        </row>
        <row r="1590">
          <cell r="A1590" t="str">
            <v>Loan Status Effective Date</v>
          </cell>
          <cell r="B1590">
            <v>41150</v>
          </cell>
        </row>
        <row r="1591">
          <cell r="A1591" t="str">
            <v>Loan Status</v>
          </cell>
          <cell r="B1591" t="str">
            <v>FB</v>
          </cell>
        </row>
        <row r="1592">
          <cell r="A1592" t="str">
            <v>Loan Status Description</v>
          </cell>
          <cell r="B1592" t="str">
            <v>FORBEARANCE</v>
          </cell>
        </row>
        <row r="1593">
          <cell r="A1593" t="str">
            <v>Loan Status Effective Date</v>
          </cell>
          <cell r="B1593">
            <v>40812</v>
          </cell>
        </row>
        <row r="1594">
          <cell r="A1594" t="str">
            <v>Loan Status</v>
          </cell>
          <cell r="B1594" t="str">
            <v>FB</v>
          </cell>
        </row>
        <row r="1595">
          <cell r="A1595" t="str">
            <v>Loan Status Description</v>
          </cell>
          <cell r="B1595" t="str">
            <v>FORBEARANCE</v>
          </cell>
        </row>
        <row r="1596">
          <cell r="A1596" t="str">
            <v>Loan Status Effective Date</v>
          </cell>
          <cell r="B1596">
            <v>40628</v>
          </cell>
        </row>
        <row r="1597">
          <cell r="A1597" t="str">
            <v>Loan Status</v>
          </cell>
          <cell r="B1597" t="str">
            <v>DA</v>
          </cell>
        </row>
        <row r="1598">
          <cell r="A1598" t="str">
            <v>Loan Status Description</v>
          </cell>
          <cell r="B1598" t="str">
            <v>DEFERRED</v>
          </cell>
        </row>
        <row r="1599">
          <cell r="A1599" t="str">
            <v>Loan Status Effective Date</v>
          </cell>
          <cell r="B1599">
            <v>39314</v>
          </cell>
        </row>
        <row r="1600">
          <cell r="A1600" t="str">
            <v>Loan Status</v>
          </cell>
          <cell r="B1600" t="str">
            <v>IA</v>
          </cell>
        </row>
        <row r="1601">
          <cell r="A1601" t="str">
            <v>Loan Status Description</v>
          </cell>
          <cell r="B1601" t="str">
            <v>LOAN ORIGINATED</v>
          </cell>
        </row>
        <row r="1602">
          <cell r="A1602" t="str">
            <v>Loan Status Effective Date</v>
          </cell>
          <cell r="B1602">
            <v>39175</v>
          </cell>
        </row>
        <row r="1603">
          <cell r="A1603" t="str">
            <v>Loan Disbursement Date</v>
          </cell>
          <cell r="B1603">
            <v>39314</v>
          </cell>
        </row>
        <row r="1604">
          <cell r="A1604" t="str">
            <v>Loan Disbursement Amount</v>
          </cell>
          <cell r="B1604">
            <v>16750</v>
          </cell>
        </row>
        <row r="1605">
          <cell r="A1605" t="str">
            <v>Loan Disbursement Date</v>
          </cell>
          <cell r="B1605">
            <v>39195</v>
          </cell>
        </row>
        <row r="1606">
          <cell r="A1606" t="str">
            <v>Loan Disbursement Amount</v>
          </cell>
          <cell r="B1606">
            <v>16750</v>
          </cell>
        </row>
        <row r="1607">
          <cell r="A1607" t="str">
            <v>Loan Contact Type</v>
          </cell>
          <cell r="B1607" t="str">
            <v>Current Servicer</v>
          </cell>
        </row>
        <row r="1608">
          <cell r="A1608" t="str">
            <v>Loan Contact Name</v>
          </cell>
          <cell r="B1608" t="str">
            <v>NAVIENT SOLUTIONS, INC.</v>
          </cell>
        </row>
        <row r="1609">
          <cell r="A1609" t="str">
            <v>Loan Contact Street Address 1</v>
          </cell>
          <cell r="B1609" t="str">
            <v>220 LASLEY AVE</v>
          </cell>
        </row>
        <row r="1610">
          <cell r="A1610" t="str">
            <v>Loan Contact Street Address 2</v>
          </cell>
        </row>
        <row r="1611">
          <cell r="A1611" t="str">
            <v>Loan Contact City</v>
          </cell>
          <cell r="B1611" t="str">
            <v>WILKES-BARRE</v>
          </cell>
        </row>
        <row r="1612">
          <cell r="A1612" t="str">
            <v>Loan Contact State Code</v>
          </cell>
          <cell r="B1612" t="str">
            <v>PA</v>
          </cell>
        </row>
        <row r="1613">
          <cell r="A1613" t="str">
            <v>Loan Contact Zip Code</v>
          </cell>
          <cell r="B1613">
            <v>18706</v>
          </cell>
        </row>
        <row r="1614">
          <cell r="A1614" t="str">
            <v>Loan Contact Phone Number</v>
          </cell>
          <cell r="B1614" t="str">
            <v>888-272-5543</v>
          </cell>
        </row>
        <row r="1615">
          <cell r="A1615" t="str">
            <v>Loan Contact Phone Extension</v>
          </cell>
        </row>
        <row r="1616">
          <cell r="A1616" t="str">
            <v>Loan Contact Email Address</v>
          </cell>
        </row>
        <row r="1617">
          <cell r="A1617" t="str">
            <v>Loan Contact Web Site Address</v>
          </cell>
        </row>
        <row r="1618">
          <cell r="A1618" t="str">
            <v>Loan Contact Type</v>
          </cell>
          <cell r="B1618" t="str">
            <v>Current Lender</v>
          </cell>
        </row>
        <row r="1619">
          <cell r="A1619" t="str">
            <v>Loan Contact Name</v>
          </cell>
          <cell r="B1619" t="str">
            <v>DEUTSCHE BANK ELT NAVIENT &amp; SLM TRUSTS</v>
          </cell>
        </row>
        <row r="1620">
          <cell r="A1620" t="str">
            <v>Loan Contact Street Address 1</v>
          </cell>
          <cell r="B1620" t="str">
            <v>11600 SALLIE MAE DR,DEB SOUTHERLAND</v>
          </cell>
        </row>
        <row r="1621">
          <cell r="A1621" t="str">
            <v>Loan Contact Street Address 2</v>
          </cell>
        </row>
        <row r="1622">
          <cell r="A1622" t="str">
            <v>Loan Contact City</v>
          </cell>
          <cell r="B1622" t="str">
            <v>RESTON</v>
          </cell>
        </row>
        <row r="1623">
          <cell r="A1623" t="str">
            <v>Loan Contact State Code</v>
          </cell>
          <cell r="B1623" t="str">
            <v>VA</v>
          </cell>
        </row>
        <row r="1624">
          <cell r="A1624" t="str">
            <v>Loan Contact Zip Code</v>
          </cell>
          <cell r="B1624">
            <v>201930000</v>
          </cell>
        </row>
        <row r="1625">
          <cell r="A1625" t="str">
            <v>Loan Contact Phone Number</v>
          </cell>
          <cell r="B1625" t="str">
            <v>888-272-5543</v>
          </cell>
        </row>
        <row r="1626">
          <cell r="A1626" t="str">
            <v>Loan Contact Phone Extension</v>
          </cell>
        </row>
        <row r="1627">
          <cell r="A1627" t="str">
            <v>Loan Contact Email Address</v>
          </cell>
        </row>
        <row r="1628">
          <cell r="A1628" t="str">
            <v>Loan Contact Web Site Address</v>
          </cell>
        </row>
        <row r="1629">
          <cell r="A1629" t="str">
            <v>Loan Contact Type</v>
          </cell>
          <cell r="B1629" t="str">
            <v>Current Guaranty Agency</v>
          </cell>
        </row>
        <row r="1630">
          <cell r="A1630" t="str">
            <v>Loan Contact Name</v>
          </cell>
          <cell r="B1630" t="str">
            <v>USA FUNDS, INC.</v>
          </cell>
        </row>
        <row r="1631">
          <cell r="A1631" t="str">
            <v>Loan Contact Street Address 1</v>
          </cell>
          <cell r="B1631" t="str">
            <v>P.O. BOX 6180</v>
          </cell>
        </row>
        <row r="1632">
          <cell r="A1632" t="str">
            <v>Loan Contact Street Address 2</v>
          </cell>
        </row>
        <row r="1633">
          <cell r="A1633" t="str">
            <v>Loan Contact City</v>
          </cell>
          <cell r="B1633" t="str">
            <v>INDIANAPOLIS</v>
          </cell>
        </row>
        <row r="1634">
          <cell r="A1634" t="str">
            <v>Loan Contact State Code</v>
          </cell>
          <cell r="B1634" t="str">
            <v>IN</v>
          </cell>
        </row>
        <row r="1635">
          <cell r="A1635" t="str">
            <v>Loan Contact Zip Code</v>
          </cell>
          <cell r="B1635">
            <v>462066180</v>
          </cell>
        </row>
        <row r="1636">
          <cell r="A1636" t="str">
            <v>Loan Contact Phone Number</v>
          </cell>
        </row>
        <row r="1637">
          <cell r="A1637" t="str">
            <v>Loan Contact Phone Extension</v>
          </cell>
        </row>
        <row r="1638">
          <cell r="A1638" t="str">
            <v>Loan Contact Email Address</v>
          </cell>
        </row>
        <row r="1639">
          <cell r="A1639" t="str">
            <v>Loan Contact Web Site Address</v>
          </cell>
        </row>
        <row r="1640">
          <cell r="A1640" t="str">
            <v>Loan Type</v>
          </cell>
          <cell r="B1640" t="str">
            <v>STAFFORD UNSUBSIDIZED</v>
          </cell>
        </row>
        <row r="1641">
          <cell r="A1641" t="str">
            <v>Loan Award ID</v>
          </cell>
        </row>
        <row r="1642">
          <cell r="A1642" t="str">
            <v>Loan Attending School Name</v>
          </cell>
          <cell r="B1642" t="str">
            <v>AMERICAN UNIVERSITY OF THE CARIBBEAN</v>
          </cell>
        </row>
        <row r="1643">
          <cell r="A1643" t="str">
            <v>Loan Attending School OPEID</v>
          </cell>
          <cell r="B1643">
            <v>2244400</v>
          </cell>
        </row>
        <row r="1644">
          <cell r="A1644" t="str">
            <v>Loan Date</v>
          </cell>
          <cell r="B1644">
            <v>39174</v>
          </cell>
        </row>
        <row r="1645">
          <cell r="A1645" t="str">
            <v>Loan Repayment Begin Date</v>
          </cell>
          <cell r="B1645">
            <v>40812</v>
          </cell>
        </row>
        <row r="1646">
          <cell r="A1646" t="str">
            <v>Loan Period Begin Date</v>
          </cell>
          <cell r="B1646">
            <v>39204</v>
          </cell>
        </row>
        <row r="1647">
          <cell r="A1647" t="str">
            <v>Loan Period End Date</v>
          </cell>
          <cell r="B1647">
            <v>39431</v>
          </cell>
        </row>
        <row r="1648">
          <cell r="A1648" t="str">
            <v>Loan Amount</v>
          </cell>
          <cell r="B1648">
            <v>10000</v>
          </cell>
        </row>
        <row r="1649">
          <cell r="A1649" t="str">
            <v>Loan Disbursed Amount</v>
          </cell>
          <cell r="B1649">
            <v>10000</v>
          </cell>
        </row>
        <row r="1650">
          <cell r="A1650" t="str">
            <v>Loan Canceled Amount</v>
          </cell>
          <cell r="B1650">
            <v>0</v>
          </cell>
        </row>
        <row r="1651">
          <cell r="A1651" t="str">
            <v>Loan Canceled Date</v>
          </cell>
        </row>
        <row r="1652">
          <cell r="A1652" t="str">
            <v>Loan Outstanding Principal Balance</v>
          </cell>
          <cell r="B1652">
            <v>15478</v>
          </cell>
        </row>
        <row r="1653">
          <cell r="A1653" t="str">
            <v>Loan Outstanding Principal Balance as of Date</v>
          </cell>
          <cell r="B1653">
            <v>42308</v>
          </cell>
        </row>
        <row r="1654">
          <cell r="A1654" t="str">
            <v>Loan Outstanding Interest Balance</v>
          </cell>
          <cell r="B1654">
            <v>1406</v>
          </cell>
        </row>
        <row r="1655">
          <cell r="A1655" t="str">
            <v>Loan Outstanding Interest Balance as of Date</v>
          </cell>
          <cell r="B1655">
            <v>42308</v>
          </cell>
        </row>
        <row r="1656">
          <cell r="A1656" t="str">
            <v>Loan Interest Rate Type</v>
          </cell>
          <cell r="B1656" t="str">
            <v>FIXED</v>
          </cell>
        </row>
        <row r="1657">
          <cell r="A1657" t="str">
            <v>Loan Interest Rate</v>
          </cell>
          <cell r="B1657">
            <v>6.8000000000000005E-2</v>
          </cell>
        </row>
        <row r="1658">
          <cell r="A1658" t="str">
            <v>Loan Repayment Plan Begin Date</v>
          </cell>
        </row>
        <row r="1659">
          <cell r="A1659" t="str">
            <v>Loan Repayment Plan Scheduled Amount</v>
          </cell>
        </row>
        <row r="1660">
          <cell r="A1660" t="str">
            <v>Loan Confirmed Subsidy Status</v>
          </cell>
        </row>
        <row r="1661">
          <cell r="A1661" t="str">
            <v>Loan Subsidized Usage in Years</v>
          </cell>
        </row>
        <row r="1662">
          <cell r="A1662" t="str">
            <v>Loan Reaffirmation Date</v>
          </cell>
        </row>
        <row r="1663">
          <cell r="A1663" t="str">
            <v>Loan Status</v>
          </cell>
          <cell r="B1663" t="str">
            <v>DA</v>
          </cell>
        </row>
        <row r="1664">
          <cell r="A1664" t="str">
            <v>Loan Status Description</v>
          </cell>
          <cell r="B1664" t="str">
            <v>DEFERRED</v>
          </cell>
        </row>
        <row r="1665">
          <cell r="A1665" t="str">
            <v>Loan Status Effective Date</v>
          </cell>
          <cell r="B1665">
            <v>41821</v>
          </cell>
        </row>
        <row r="1666">
          <cell r="A1666" t="str">
            <v>Loan Status</v>
          </cell>
          <cell r="B1666" t="str">
            <v>RP</v>
          </cell>
        </row>
        <row r="1667">
          <cell r="A1667" t="str">
            <v>Loan Status Description</v>
          </cell>
          <cell r="B1667" t="str">
            <v>IN REPAYMENT</v>
          </cell>
        </row>
        <row r="1668">
          <cell r="A1668" t="str">
            <v>Loan Status Effective Date</v>
          </cell>
          <cell r="B1668">
            <v>41813</v>
          </cell>
        </row>
        <row r="1669">
          <cell r="A1669" t="str">
            <v>Loan Status</v>
          </cell>
          <cell r="B1669" t="str">
            <v>FB</v>
          </cell>
        </row>
        <row r="1670">
          <cell r="A1670" t="str">
            <v>Loan Status Description</v>
          </cell>
          <cell r="B1670" t="str">
            <v>FORBEARANCE</v>
          </cell>
        </row>
        <row r="1671">
          <cell r="A1671" t="str">
            <v>Loan Status Effective Date</v>
          </cell>
          <cell r="B1671">
            <v>41543</v>
          </cell>
        </row>
        <row r="1672">
          <cell r="A1672" t="str">
            <v>Loan Status</v>
          </cell>
          <cell r="B1672" t="str">
            <v>RP</v>
          </cell>
        </row>
        <row r="1673">
          <cell r="A1673" t="str">
            <v>Loan Status Description</v>
          </cell>
          <cell r="B1673" t="str">
            <v>IN REPAYMENT</v>
          </cell>
        </row>
        <row r="1674">
          <cell r="A1674" t="str">
            <v>Loan Status Effective Date</v>
          </cell>
          <cell r="B1674">
            <v>41178</v>
          </cell>
        </row>
        <row r="1675">
          <cell r="A1675" t="str">
            <v>Loan Status</v>
          </cell>
          <cell r="B1675" t="str">
            <v>FB</v>
          </cell>
        </row>
        <row r="1676">
          <cell r="A1676" t="str">
            <v>Loan Status Description</v>
          </cell>
          <cell r="B1676" t="str">
            <v>FORBEARANCE</v>
          </cell>
        </row>
        <row r="1677">
          <cell r="A1677" t="str">
            <v>Loan Status Effective Date</v>
          </cell>
          <cell r="B1677">
            <v>40815</v>
          </cell>
        </row>
        <row r="1678">
          <cell r="A1678" t="str">
            <v>Loan Status</v>
          </cell>
          <cell r="B1678" t="str">
            <v>IG</v>
          </cell>
        </row>
        <row r="1679">
          <cell r="A1679" t="str">
            <v>Loan Status Description</v>
          </cell>
          <cell r="B1679" t="str">
            <v>IN GRACE PERIOD</v>
          </cell>
        </row>
        <row r="1680">
          <cell r="A1680" t="str">
            <v>Loan Status Effective Date</v>
          </cell>
          <cell r="B1680">
            <v>40628</v>
          </cell>
        </row>
        <row r="1681">
          <cell r="A1681" t="str">
            <v>Loan Status</v>
          </cell>
          <cell r="B1681" t="str">
            <v>IA</v>
          </cell>
        </row>
        <row r="1682">
          <cell r="A1682" t="str">
            <v>Loan Status Description</v>
          </cell>
          <cell r="B1682" t="str">
            <v>LOAN ORIGINATED</v>
          </cell>
        </row>
        <row r="1683">
          <cell r="A1683" t="str">
            <v>Loan Status Effective Date</v>
          </cell>
          <cell r="B1683">
            <v>39174</v>
          </cell>
        </row>
        <row r="1684">
          <cell r="A1684" t="str">
            <v>Loan Disbursement Date</v>
          </cell>
          <cell r="B1684">
            <v>39314</v>
          </cell>
        </row>
        <row r="1685">
          <cell r="A1685" t="str">
            <v>Loan Disbursement Amount</v>
          </cell>
          <cell r="B1685">
            <v>5000</v>
          </cell>
        </row>
        <row r="1686">
          <cell r="A1686" t="str">
            <v>Loan Disbursement Date</v>
          </cell>
          <cell r="B1686">
            <v>39195</v>
          </cell>
        </row>
        <row r="1687">
          <cell r="A1687" t="str">
            <v>Loan Disbursement Amount</v>
          </cell>
          <cell r="B1687">
            <v>5000</v>
          </cell>
        </row>
        <row r="1688">
          <cell r="A1688" t="str">
            <v>Loan Contact Type</v>
          </cell>
          <cell r="B1688" t="str">
            <v>Current Servicer</v>
          </cell>
        </row>
        <row r="1689">
          <cell r="A1689" t="str">
            <v>Loan Contact Name</v>
          </cell>
          <cell r="B1689" t="str">
            <v>NAVIENT SOLUTIONS, INC.</v>
          </cell>
        </row>
        <row r="1690">
          <cell r="A1690" t="str">
            <v>Loan Contact Street Address 1</v>
          </cell>
          <cell r="B1690" t="str">
            <v>220 LASLEY AVE</v>
          </cell>
        </row>
        <row r="1691">
          <cell r="A1691" t="str">
            <v>Loan Contact Street Address 2</v>
          </cell>
        </row>
        <row r="1692">
          <cell r="A1692" t="str">
            <v>Loan Contact City</v>
          </cell>
          <cell r="B1692" t="str">
            <v>WILKES-BARRE</v>
          </cell>
        </row>
        <row r="1693">
          <cell r="A1693" t="str">
            <v>Loan Contact State Code</v>
          </cell>
          <cell r="B1693" t="str">
            <v>PA</v>
          </cell>
        </row>
        <row r="1694">
          <cell r="A1694" t="str">
            <v>Loan Contact Zip Code</v>
          </cell>
          <cell r="B1694">
            <v>18706</v>
          </cell>
        </row>
        <row r="1695">
          <cell r="A1695" t="str">
            <v>Loan Contact Phone Number</v>
          </cell>
          <cell r="B1695" t="str">
            <v>888-272-5543</v>
          </cell>
        </row>
        <row r="1696">
          <cell r="A1696" t="str">
            <v>Loan Contact Phone Extension</v>
          </cell>
        </row>
        <row r="1697">
          <cell r="A1697" t="str">
            <v>Loan Contact Email Address</v>
          </cell>
        </row>
        <row r="1698">
          <cell r="A1698" t="str">
            <v>Loan Contact Web Site Address</v>
          </cell>
        </row>
        <row r="1699">
          <cell r="A1699" t="str">
            <v>Loan Contact Type</v>
          </cell>
          <cell r="B1699" t="str">
            <v>Current Lender</v>
          </cell>
        </row>
        <row r="1700">
          <cell r="A1700" t="str">
            <v>Loan Contact Name</v>
          </cell>
          <cell r="B1700" t="str">
            <v>DEUTSCHE BANK ELT NAVIENT &amp; SLM TRUSTS</v>
          </cell>
        </row>
        <row r="1701">
          <cell r="A1701" t="str">
            <v>Loan Contact Street Address 1</v>
          </cell>
          <cell r="B1701" t="str">
            <v>11600 SALLIE MAE DR,DEB SOUTHERLAND</v>
          </cell>
        </row>
        <row r="1702">
          <cell r="A1702" t="str">
            <v>Loan Contact Street Address 2</v>
          </cell>
        </row>
        <row r="1703">
          <cell r="A1703" t="str">
            <v>Loan Contact City</v>
          </cell>
          <cell r="B1703" t="str">
            <v>RESTON</v>
          </cell>
        </row>
        <row r="1704">
          <cell r="A1704" t="str">
            <v>Loan Contact State Code</v>
          </cell>
          <cell r="B1704" t="str">
            <v>VA</v>
          </cell>
        </row>
        <row r="1705">
          <cell r="A1705" t="str">
            <v>Loan Contact Zip Code</v>
          </cell>
          <cell r="B1705">
            <v>201930000</v>
          </cell>
        </row>
        <row r="1706">
          <cell r="A1706" t="str">
            <v>Loan Contact Phone Number</v>
          </cell>
          <cell r="B1706" t="str">
            <v>888-272-5543</v>
          </cell>
        </row>
        <row r="1707">
          <cell r="A1707" t="str">
            <v>Loan Contact Phone Extension</v>
          </cell>
        </row>
        <row r="1708">
          <cell r="A1708" t="str">
            <v>Loan Contact Email Address</v>
          </cell>
        </row>
        <row r="1709">
          <cell r="A1709" t="str">
            <v>Loan Contact Web Site Address</v>
          </cell>
        </row>
        <row r="1710">
          <cell r="A1710" t="str">
            <v>Loan Contact Type</v>
          </cell>
          <cell r="B1710" t="str">
            <v>Current Guaranty Agency</v>
          </cell>
        </row>
        <row r="1711">
          <cell r="A1711" t="str">
            <v>Loan Contact Name</v>
          </cell>
          <cell r="B1711" t="str">
            <v>USA FUNDS, INC.</v>
          </cell>
        </row>
        <row r="1712">
          <cell r="A1712" t="str">
            <v>Loan Contact Street Address 1</v>
          </cell>
          <cell r="B1712" t="str">
            <v>P.O. BOX 6180</v>
          </cell>
        </row>
        <row r="1713">
          <cell r="A1713" t="str">
            <v>Loan Contact Street Address 2</v>
          </cell>
        </row>
        <row r="1714">
          <cell r="A1714" t="str">
            <v>Loan Contact City</v>
          </cell>
          <cell r="B1714" t="str">
            <v>INDIANAPOLIS</v>
          </cell>
        </row>
        <row r="1715">
          <cell r="A1715" t="str">
            <v>Loan Contact State Code</v>
          </cell>
          <cell r="B1715" t="str">
            <v>IN</v>
          </cell>
        </row>
        <row r="1716">
          <cell r="A1716" t="str">
            <v>Loan Contact Zip Code</v>
          </cell>
          <cell r="B1716">
            <v>462066180</v>
          </cell>
        </row>
        <row r="1717">
          <cell r="A1717" t="str">
            <v>Loan Contact Phone Number</v>
          </cell>
        </row>
        <row r="1718">
          <cell r="A1718" t="str">
            <v>Loan Contact Phone Extension</v>
          </cell>
        </row>
        <row r="1719">
          <cell r="A1719" t="str">
            <v>Loan Contact Email Address</v>
          </cell>
        </row>
        <row r="1720">
          <cell r="A1720" t="str">
            <v>Loan Contact Web Site Address</v>
          </cell>
        </row>
        <row r="1721">
          <cell r="A1721" t="str">
            <v>Loan Type</v>
          </cell>
          <cell r="B1721" t="str">
            <v>STAFFORD SUBSIDIZED</v>
          </cell>
        </row>
        <row r="1722">
          <cell r="A1722" t="str">
            <v>Loan Award ID</v>
          </cell>
        </row>
        <row r="1723">
          <cell r="A1723" t="str">
            <v>Loan Attending School Name</v>
          </cell>
          <cell r="B1723" t="str">
            <v>AMERICAN UNIVERSITY OF THE CARIBBEAN</v>
          </cell>
        </row>
        <row r="1724">
          <cell r="A1724" t="str">
            <v>Loan Attending School OPEID</v>
          </cell>
          <cell r="B1724">
            <v>2244400</v>
          </cell>
        </row>
        <row r="1725">
          <cell r="A1725" t="str">
            <v>Loan Date</v>
          </cell>
          <cell r="B1725">
            <v>39174</v>
          </cell>
        </row>
        <row r="1726">
          <cell r="A1726" t="str">
            <v>Loan Repayment Begin Date</v>
          </cell>
          <cell r="B1726">
            <v>40812</v>
          </cell>
        </row>
        <row r="1727">
          <cell r="A1727" t="str">
            <v>Loan Period Begin Date</v>
          </cell>
          <cell r="B1727">
            <v>39204</v>
          </cell>
        </row>
        <row r="1728">
          <cell r="A1728" t="str">
            <v>Loan Period End Date</v>
          </cell>
          <cell r="B1728">
            <v>39431</v>
          </cell>
        </row>
        <row r="1729">
          <cell r="A1729" t="str">
            <v>Loan Amount</v>
          </cell>
          <cell r="B1729">
            <v>8500</v>
          </cell>
        </row>
        <row r="1730">
          <cell r="A1730" t="str">
            <v>Loan Disbursed Amount</v>
          </cell>
          <cell r="B1730">
            <v>8500</v>
          </cell>
        </row>
        <row r="1731">
          <cell r="A1731" t="str">
            <v>Loan Canceled Amount</v>
          </cell>
          <cell r="B1731">
            <v>0</v>
          </cell>
        </row>
        <row r="1732">
          <cell r="A1732" t="str">
            <v>Loan Canceled Date</v>
          </cell>
        </row>
        <row r="1733">
          <cell r="A1733" t="str">
            <v>Loan Outstanding Principal Balance</v>
          </cell>
          <cell r="B1733">
            <v>10199</v>
          </cell>
        </row>
        <row r="1734">
          <cell r="A1734" t="str">
            <v>Loan Outstanding Principal Balance as of Date</v>
          </cell>
          <cell r="B1734">
            <v>42308</v>
          </cell>
        </row>
        <row r="1735">
          <cell r="A1735" t="str">
            <v>Loan Outstanding Interest Balance</v>
          </cell>
          <cell r="B1735">
            <v>1</v>
          </cell>
        </row>
        <row r="1736">
          <cell r="A1736" t="str">
            <v>Loan Outstanding Interest Balance as of Date</v>
          </cell>
          <cell r="B1736">
            <v>42308</v>
          </cell>
        </row>
        <row r="1737">
          <cell r="A1737" t="str">
            <v>Loan Interest Rate Type</v>
          </cell>
          <cell r="B1737" t="str">
            <v>FIXED</v>
          </cell>
        </row>
        <row r="1738">
          <cell r="A1738" t="str">
            <v>Loan Interest Rate</v>
          </cell>
          <cell r="B1738">
            <v>6.8000000000000005E-2</v>
          </cell>
        </row>
        <row r="1739">
          <cell r="A1739" t="str">
            <v>Loan Repayment Plan Begin Date</v>
          </cell>
        </row>
        <row r="1740">
          <cell r="A1740" t="str">
            <v>Loan Repayment Plan Scheduled Amount</v>
          </cell>
        </row>
        <row r="1741">
          <cell r="A1741" t="str">
            <v>Loan Confirmed Subsidy Status</v>
          </cell>
        </row>
        <row r="1742">
          <cell r="A1742" t="str">
            <v>Loan Subsidized Usage in Years</v>
          </cell>
        </row>
        <row r="1743">
          <cell r="A1743" t="str">
            <v>Loan Reaffirmation Date</v>
          </cell>
        </row>
        <row r="1744">
          <cell r="A1744" t="str">
            <v>Loan Status</v>
          </cell>
          <cell r="B1744" t="str">
            <v>DA</v>
          </cell>
        </row>
        <row r="1745">
          <cell r="A1745" t="str">
            <v>Loan Status Description</v>
          </cell>
          <cell r="B1745" t="str">
            <v>DEFERRED</v>
          </cell>
        </row>
        <row r="1746">
          <cell r="A1746" t="str">
            <v>Loan Status Effective Date</v>
          </cell>
          <cell r="B1746">
            <v>41821</v>
          </cell>
        </row>
        <row r="1747">
          <cell r="A1747" t="str">
            <v>Loan Status</v>
          </cell>
          <cell r="B1747" t="str">
            <v>RP</v>
          </cell>
        </row>
        <row r="1748">
          <cell r="A1748" t="str">
            <v>Loan Status Description</v>
          </cell>
          <cell r="B1748" t="str">
            <v>IN REPAYMENT</v>
          </cell>
        </row>
        <row r="1749">
          <cell r="A1749" t="str">
            <v>Loan Status Effective Date</v>
          </cell>
          <cell r="B1749">
            <v>41813</v>
          </cell>
        </row>
        <row r="1750">
          <cell r="A1750" t="str">
            <v>Loan Status</v>
          </cell>
          <cell r="B1750" t="str">
            <v>FB</v>
          </cell>
        </row>
        <row r="1751">
          <cell r="A1751" t="str">
            <v>Loan Status Description</v>
          </cell>
          <cell r="B1751" t="str">
            <v>FORBEARANCE</v>
          </cell>
        </row>
        <row r="1752">
          <cell r="A1752" t="str">
            <v>Loan Status Effective Date</v>
          </cell>
          <cell r="B1752">
            <v>41543</v>
          </cell>
        </row>
        <row r="1753">
          <cell r="A1753" t="str">
            <v>Loan Status</v>
          </cell>
          <cell r="B1753" t="str">
            <v>RP</v>
          </cell>
        </row>
        <row r="1754">
          <cell r="A1754" t="str">
            <v>Loan Status Description</v>
          </cell>
          <cell r="B1754" t="str">
            <v>IN REPAYMENT</v>
          </cell>
        </row>
        <row r="1755">
          <cell r="A1755" t="str">
            <v>Loan Status Effective Date</v>
          </cell>
          <cell r="B1755">
            <v>41178</v>
          </cell>
        </row>
        <row r="1756">
          <cell r="A1756" t="str">
            <v>Loan Status</v>
          </cell>
          <cell r="B1756" t="str">
            <v>FB</v>
          </cell>
        </row>
        <row r="1757">
          <cell r="A1757" t="str">
            <v>Loan Status Description</v>
          </cell>
          <cell r="B1757" t="str">
            <v>FORBEARANCE</v>
          </cell>
        </row>
        <row r="1758">
          <cell r="A1758" t="str">
            <v>Loan Status Effective Date</v>
          </cell>
          <cell r="B1758">
            <v>40815</v>
          </cell>
        </row>
        <row r="1759">
          <cell r="A1759" t="str">
            <v>Loan Status</v>
          </cell>
          <cell r="B1759" t="str">
            <v>IG</v>
          </cell>
        </row>
        <row r="1760">
          <cell r="A1760" t="str">
            <v>Loan Status Description</v>
          </cell>
          <cell r="B1760" t="str">
            <v>IN GRACE PERIOD</v>
          </cell>
        </row>
        <row r="1761">
          <cell r="A1761" t="str">
            <v>Loan Status Effective Date</v>
          </cell>
          <cell r="B1761">
            <v>40628</v>
          </cell>
        </row>
        <row r="1762">
          <cell r="A1762" t="str">
            <v>Loan Status</v>
          </cell>
          <cell r="B1762" t="str">
            <v>IA</v>
          </cell>
        </row>
        <row r="1763">
          <cell r="A1763" t="str">
            <v>Loan Status Description</v>
          </cell>
          <cell r="B1763" t="str">
            <v>LOAN ORIGINATED</v>
          </cell>
        </row>
        <row r="1764">
          <cell r="A1764" t="str">
            <v>Loan Status Effective Date</v>
          </cell>
          <cell r="B1764">
            <v>39174</v>
          </cell>
        </row>
        <row r="1765">
          <cell r="A1765" t="str">
            <v>Loan Disbursement Date</v>
          </cell>
          <cell r="B1765">
            <v>39314</v>
          </cell>
        </row>
        <row r="1766">
          <cell r="A1766" t="str">
            <v>Loan Disbursement Amount</v>
          </cell>
          <cell r="B1766">
            <v>4250</v>
          </cell>
        </row>
        <row r="1767">
          <cell r="A1767" t="str">
            <v>Loan Disbursement Date</v>
          </cell>
          <cell r="B1767">
            <v>39195</v>
          </cell>
        </row>
        <row r="1768">
          <cell r="A1768" t="str">
            <v>Loan Disbursement Amount</v>
          </cell>
          <cell r="B1768">
            <v>4250</v>
          </cell>
        </row>
        <row r="1769">
          <cell r="A1769" t="str">
            <v>Loan Contact Type</v>
          </cell>
          <cell r="B1769" t="str">
            <v>Current Servicer</v>
          </cell>
        </row>
        <row r="1770">
          <cell r="A1770" t="str">
            <v>Loan Contact Name</v>
          </cell>
          <cell r="B1770" t="str">
            <v>NAVIENT SOLUTIONS, INC.</v>
          </cell>
        </row>
        <row r="1771">
          <cell r="A1771" t="str">
            <v>Loan Contact Street Address 1</v>
          </cell>
          <cell r="B1771" t="str">
            <v>220 LASLEY AVE</v>
          </cell>
        </row>
        <row r="1772">
          <cell r="A1772" t="str">
            <v>Loan Contact Street Address 2</v>
          </cell>
        </row>
        <row r="1773">
          <cell r="A1773" t="str">
            <v>Loan Contact City</v>
          </cell>
          <cell r="B1773" t="str">
            <v>WILKES-BARRE</v>
          </cell>
        </row>
        <row r="1774">
          <cell r="A1774" t="str">
            <v>Loan Contact State Code</v>
          </cell>
          <cell r="B1774" t="str">
            <v>PA</v>
          </cell>
        </row>
        <row r="1775">
          <cell r="A1775" t="str">
            <v>Loan Contact Zip Code</v>
          </cell>
          <cell r="B1775">
            <v>18706</v>
          </cell>
        </row>
        <row r="1776">
          <cell r="A1776" t="str">
            <v>Loan Contact Phone Number</v>
          </cell>
          <cell r="B1776" t="str">
            <v>888-272-5543</v>
          </cell>
        </row>
        <row r="1777">
          <cell r="A1777" t="str">
            <v>Loan Contact Phone Extension</v>
          </cell>
        </row>
        <row r="1778">
          <cell r="A1778" t="str">
            <v>Loan Contact Email Address</v>
          </cell>
        </row>
        <row r="1779">
          <cell r="A1779" t="str">
            <v>Loan Contact Web Site Address</v>
          </cell>
        </row>
        <row r="1780">
          <cell r="A1780" t="str">
            <v>Loan Contact Type</v>
          </cell>
          <cell r="B1780" t="str">
            <v>Current Lender</v>
          </cell>
        </row>
        <row r="1781">
          <cell r="A1781" t="str">
            <v>Loan Contact Name</v>
          </cell>
          <cell r="B1781" t="str">
            <v>DEUTSCHE BANK ELT NAVIENT &amp; SLM TRUSTS</v>
          </cell>
        </row>
        <row r="1782">
          <cell r="A1782" t="str">
            <v>Loan Contact Street Address 1</v>
          </cell>
          <cell r="B1782" t="str">
            <v>11600 SALLIE MAE DR,DEB SOUTHERLAND</v>
          </cell>
        </row>
        <row r="1783">
          <cell r="A1783" t="str">
            <v>Loan Contact Street Address 2</v>
          </cell>
        </row>
        <row r="1784">
          <cell r="A1784" t="str">
            <v>Loan Contact City</v>
          </cell>
          <cell r="B1784" t="str">
            <v>RESTON</v>
          </cell>
        </row>
        <row r="1785">
          <cell r="A1785" t="str">
            <v>Loan Contact State Code</v>
          </cell>
          <cell r="B1785" t="str">
            <v>VA</v>
          </cell>
        </row>
        <row r="1786">
          <cell r="A1786" t="str">
            <v>Loan Contact Zip Code</v>
          </cell>
          <cell r="B1786">
            <v>201930000</v>
          </cell>
        </row>
        <row r="1787">
          <cell r="A1787" t="str">
            <v>Loan Contact Phone Number</v>
          </cell>
          <cell r="B1787" t="str">
            <v>888-272-5543</v>
          </cell>
        </row>
        <row r="1788">
          <cell r="A1788" t="str">
            <v>Loan Contact Phone Extension</v>
          </cell>
        </row>
        <row r="1789">
          <cell r="A1789" t="str">
            <v>Loan Contact Email Address</v>
          </cell>
        </row>
        <row r="1790">
          <cell r="A1790" t="str">
            <v>Loan Contact Web Site Address</v>
          </cell>
        </row>
        <row r="1791">
          <cell r="A1791" t="str">
            <v>Loan Contact Type</v>
          </cell>
          <cell r="B1791" t="str">
            <v>Current Guaranty Agency</v>
          </cell>
        </row>
        <row r="1792">
          <cell r="A1792" t="str">
            <v>Loan Contact Name</v>
          </cell>
          <cell r="B1792" t="str">
            <v>USA FUNDS, INC.</v>
          </cell>
        </row>
        <row r="1793">
          <cell r="A1793" t="str">
            <v>Loan Contact Street Address 1</v>
          </cell>
          <cell r="B1793" t="str">
            <v>P.O. BOX 6180</v>
          </cell>
        </row>
        <row r="1794">
          <cell r="A1794" t="str">
            <v>Loan Contact Street Address 2</v>
          </cell>
        </row>
        <row r="1795">
          <cell r="A1795" t="str">
            <v>Loan Contact City</v>
          </cell>
          <cell r="B1795" t="str">
            <v>INDIANAPOLIS</v>
          </cell>
        </row>
        <row r="1796">
          <cell r="A1796" t="str">
            <v>Loan Contact State Code</v>
          </cell>
          <cell r="B1796" t="str">
            <v>IN</v>
          </cell>
        </row>
        <row r="1797">
          <cell r="A1797" t="str">
            <v>Loan Contact Zip Code</v>
          </cell>
          <cell r="B1797">
            <v>462066180</v>
          </cell>
        </row>
        <row r="1798">
          <cell r="A1798" t="str">
            <v>Loan Contact Phone Number</v>
          </cell>
        </row>
        <row r="1799">
          <cell r="A1799" t="str">
            <v>Loan Contact Phone Extension</v>
          </cell>
        </row>
        <row r="1800">
          <cell r="A1800" t="str">
            <v>Loan Contact Email Address</v>
          </cell>
        </row>
        <row r="1801">
          <cell r="A1801" t="str">
            <v>Loan Contact Web Site Address</v>
          </cell>
        </row>
        <row r="1802">
          <cell r="A1802" t="str">
            <v>Loan Type</v>
          </cell>
          <cell r="B1802" t="str">
            <v>FFEL CONSOLIDATED</v>
          </cell>
        </row>
        <row r="1803">
          <cell r="A1803" t="str">
            <v>Loan Award ID</v>
          </cell>
        </row>
        <row r="1804">
          <cell r="A1804" t="str">
            <v>Loan Attending School Name</v>
          </cell>
          <cell r="B1804" t="str">
            <v>SCHOOL CODE FOR CONSOLIDATION LOANS</v>
          </cell>
        </row>
        <row r="1805">
          <cell r="A1805" t="str">
            <v>Loan Attending School OPEID</v>
          </cell>
          <cell r="B1805">
            <v>88888800</v>
          </cell>
        </row>
        <row r="1806">
          <cell r="A1806" t="str">
            <v>Loan Date</v>
          </cell>
          <cell r="B1806">
            <v>38868</v>
          </cell>
        </row>
        <row r="1807">
          <cell r="A1807" t="str">
            <v>Loan Repayment Begin Date</v>
          </cell>
          <cell r="B1807">
            <v>38868</v>
          </cell>
        </row>
        <row r="1808">
          <cell r="A1808" t="str">
            <v>Loan Period Begin Date</v>
          </cell>
        </row>
        <row r="1809">
          <cell r="A1809" t="str">
            <v>Loan Period End Date</v>
          </cell>
        </row>
        <row r="1810">
          <cell r="A1810" t="str">
            <v>Loan Amount</v>
          </cell>
          <cell r="B1810">
            <v>40817</v>
          </cell>
        </row>
        <row r="1811">
          <cell r="A1811" t="str">
            <v>Loan Disbursed Amount</v>
          </cell>
          <cell r="B1811">
            <v>40817</v>
          </cell>
        </row>
        <row r="1812">
          <cell r="A1812" t="str">
            <v>Loan Canceled Amount</v>
          </cell>
          <cell r="B1812">
            <v>0</v>
          </cell>
        </row>
        <row r="1813">
          <cell r="A1813" t="str">
            <v>Loan Canceled Date</v>
          </cell>
        </row>
        <row r="1814">
          <cell r="A1814" t="str">
            <v>Loan Outstanding Principal Balance</v>
          </cell>
          <cell r="B1814">
            <v>49733</v>
          </cell>
        </row>
        <row r="1815">
          <cell r="A1815" t="str">
            <v>Loan Outstanding Principal Balance as of Date</v>
          </cell>
          <cell r="B1815">
            <v>42338</v>
          </cell>
        </row>
        <row r="1816">
          <cell r="A1816" t="str">
            <v>Loan Outstanding Interest Balance</v>
          </cell>
          <cell r="B1816">
            <v>1520</v>
          </cell>
        </row>
        <row r="1817">
          <cell r="A1817" t="str">
            <v>Loan Outstanding Interest Balance as of Date</v>
          </cell>
          <cell r="B1817">
            <v>42338</v>
          </cell>
        </row>
        <row r="1818">
          <cell r="A1818" t="str">
            <v>Loan Interest Rate Type</v>
          </cell>
          <cell r="B1818" t="str">
            <v>FIXED</v>
          </cell>
        </row>
        <row r="1819">
          <cell r="A1819" t="str">
            <v>Loan Interest Rate</v>
          </cell>
          <cell r="B1819">
            <v>4.7500000000000001E-2</v>
          </cell>
        </row>
        <row r="1820">
          <cell r="A1820" t="str">
            <v>Loan Repayment Plan Begin Date</v>
          </cell>
        </row>
        <row r="1821">
          <cell r="A1821" t="str">
            <v>Loan Repayment Plan Scheduled Amount</v>
          </cell>
        </row>
        <row r="1822">
          <cell r="A1822" t="str">
            <v>Loan Confirmed Subsidy Status</v>
          </cell>
        </row>
        <row r="1823">
          <cell r="A1823" t="str">
            <v>Loan Subsidized Usage in Years</v>
          </cell>
        </row>
        <row r="1824">
          <cell r="A1824" t="str">
            <v>Loan Reaffirmation Date</v>
          </cell>
        </row>
        <row r="1825">
          <cell r="A1825" t="str">
            <v>Loan Status</v>
          </cell>
          <cell r="B1825" t="str">
            <v>DA</v>
          </cell>
        </row>
        <row r="1826">
          <cell r="A1826" t="str">
            <v>Loan Status Description</v>
          </cell>
          <cell r="B1826" t="str">
            <v>DEFERRED</v>
          </cell>
        </row>
        <row r="1827">
          <cell r="A1827" t="str">
            <v>Loan Status Effective Date</v>
          </cell>
          <cell r="B1827">
            <v>41821</v>
          </cell>
        </row>
        <row r="1828">
          <cell r="A1828" t="str">
            <v>Loan Status</v>
          </cell>
          <cell r="B1828" t="str">
            <v>RP</v>
          </cell>
        </row>
        <row r="1829">
          <cell r="A1829" t="str">
            <v>Loan Status Description</v>
          </cell>
          <cell r="B1829" t="str">
            <v>IN REPAYMENT</v>
          </cell>
        </row>
        <row r="1830">
          <cell r="A1830" t="str">
            <v>Loan Status Effective Date</v>
          </cell>
          <cell r="B1830">
            <v>41806</v>
          </cell>
        </row>
        <row r="1831">
          <cell r="A1831" t="str">
            <v>Loan Status</v>
          </cell>
          <cell r="B1831" t="str">
            <v>FB</v>
          </cell>
        </row>
        <row r="1832">
          <cell r="A1832" t="str">
            <v>Loan Status Description</v>
          </cell>
          <cell r="B1832" t="str">
            <v>FORBEARANCE</v>
          </cell>
        </row>
        <row r="1833">
          <cell r="A1833" t="str">
            <v>Loan Status Effective Date</v>
          </cell>
          <cell r="B1833">
            <v>41441</v>
          </cell>
        </row>
        <row r="1834">
          <cell r="A1834" t="str">
            <v>Loan Status</v>
          </cell>
          <cell r="B1834" t="str">
            <v>RP</v>
          </cell>
        </row>
        <row r="1835">
          <cell r="A1835" t="str">
            <v>Loan Status Description</v>
          </cell>
          <cell r="B1835" t="str">
            <v>IN REPAYMENT</v>
          </cell>
        </row>
        <row r="1836">
          <cell r="A1836" t="str">
            <v>Loan Status Effective Date</v>
          </cell>
          <cell r="B1836">
            <v>41119</v>
          </cell>
        </row>
        <row r="1837">
          <cell r="A1837" t="str">
            <v>Loan Status</v>
          </cell>
          <cell r="B1837" t="str">
            <v>FB</v>
          </cell>
        </row>
        <row r="1838">
          <cell r="A1838" t="str">
            <v>Loan Status Description</v>
          </cell>
          <cell r="B1838" t="str">
            <v>FORBEARANCE</v>
          </cell>
        </row>
        <row r="1839">
          <cell r="A1839" t="str">
            <v>Loan Status Effective Date</v>
          </cell>
          <cell r="B1839">
            <v>40753</v>
          </cell>
        </row>
        <row r="1840">
          <cell r="A1840" t="str">
            <v>Loan Status</v>
          </cell>
          <cell r="B1840" t="str">
            <v>FB</v>
          </cell>
        </row>
        <row r="1841">
          <cell r="A1841" t="str">
            <v>Loan Status Description</v>
          </cell>
          <cell r="B1841" t="str">
            <v>FORBEARANCE</v>
          </cell>
        </row>
        <row r="1842">
          <cell r="A1842" t="str">
            <v>Loan Status Effective Date</v>
          </cell>
          <cell r="B1842">
            <v>40628</v>
          </cell>
        </row>
        <row r="1843">
          <cell r="A1843" t="str">
            <v>Loan Status</v>
          </cell>
          <cell r="B1843" t="str">
            <v>DA</v>
          </cell>
        </row>
        <row r="1844">
          <cell r="A1844" t="str">
            <v>Loan Status Description</v>
          </cell>
          <cell r="B1844" t="str">
            <v>DEFERRED</v>
          </cell>
        </row>
        <row r="1845">
          <cell r="A1845" t="str">
            <v>Loan Status Effective Date</v>
          </cell>
          <cell r="B1845">
            <v>39939</v>
          </cell>
        </row>
        <row r="1846">
          <cell r="A1846" t="str">
            <v>Loan Status</v>
          </cell>
          <cell r="B1846" t="str">
            <v>DA</v>
          </cell>
        </row>
        <row r="1847">
          <cell r="A1847" t="str">
            <v>Loan Status Description</v>
          </cell>
          <cell r="B1847" t="str">
            <v>DEFERRED</v>
          </cell>
        </row>
        <row r="1848">
          <cell r="A1848" t="str">
            <v>Loan Status Effective Date</v>
          </cell>
          <cell r="B1848">
            <v>39881</v>
          </cell>
        </row>
        <row r="1849">
          <cell r="A1849" t="str">
            <v>Loan Disbursement Date</v>
          </cell>
          <cell r="B1849">
            <v>38868</v>
          </cell>
        </row>
        <row r="1850">
          <cell r="A1850" t="str">
            <v>Loan Disbursement Amount</v>
          </cell>
          <cell r="B1850">
            <v>40817</v>
          </cell>
        </row>
        <row r="1851">
          <cell r="A1851" t="str">
            <v>Loan Contact Type</v>
          </cell>
          <cell r="B1851" t="str">
            <v>Current Servicer</v>
          </cell>
        </row>
        <row r="1852">
          <cell r="A1852" t="str">
            <v>Loan Contact Name</v>
          </cell>
          <cell r="B1852" t="str">
            <v>NAVIENT SOLUTIONS, INC.</v>
          </cell>
        </row>
        <row r="1853">
          <cell r="A1853" t="str">
            <v>Loan Contact Street Address 1</v>
          </cell>
          <cell r="B1853" t="str">
            <v>220 LASLEY AVE</v>
          </cell>
        </row>
        <row r="1854">
          <cell r="A1854" t="str">
            <v>Loan Contact Street Address 2</v>
          </cell>
        </row>
        <row r="1855">
          <cell r="A1855" t="str">
            <v>Loan Contact City</v>
          </cell>
          <cell r="B1855" t="str">
            <v>WILKES-BARRE</v>
          </cell>
        </row>
        <row r="1856">
          <cell r="A1856" t="str">
            <v>Loan Contact State Code</v>
          </cell>
          <cell r="B1856" t="str">
            <v>PA</v>
          </cell>
        </row>
        <row r="1857">
          <cell r="A1857" t="str">
            <v>Loan Contact Zip Code</v>
          </cell>
          <cell r="B1857">
            <v>18706</v>
          </cell>
        </row>
        <row r="1858">
          <cell r="A1858" t="str">
            <v>Loan Contact Phone Number</v>
          </cell>
          <cell r="B1858" t="str">
            <v>888-272-5543</v>
          </cell>
        </row>
        <row r="1859">
          <cell r="A1859" t="str">
            <v>Loan Contact Phone Extension</v>
          </cell>
        </row>
        <row r="1860">
          <cell r="A1860" t="str">
            <v>Loan Contact Email Address</v>
          </cell>
        </row>
        <row r="1861">
          <cell r="A1861" t="str">
            <v>Loan Contact Web Site Address</v>
          </cell>
        </row>
        <row r="1862">
          <cell r="A1862" t="str">
            <v>Loan Contact Type</v>
          </cell>
          <cell r="B1862" t="str">
            <v>Current Lender</v>
          </cell>
        </row>
        <row r="1863">
          <cell r="A1863" t="str">
            <v>Loan Contact Name</v>
          </cell>
          <cell r="B1863" t="str">
            <v>DEUTSCHE BANK ELT NAVIENT &amp; SLM TRUSTS</v>
          </cell>
        </row>
        <row r="1864">
          <cell r="A1864" t="str">
            <v>Loan Contact Street Address 1</v>
          </cell>
          <cell r="B1864" t="str">
            <v>11600 SALLIE MAE DR,DEB SOUTHERLAND</v>
          </cell>
        </row>
        <row r="1865">
          <cell r="A1865" t="str">
            <v>Loan Contact Street Address 2</v>
          </cell>
        </row>
        <row r="1866">
          <cell r="A1866" t="str">
            <v>Loan Contact City</v>
          </cell>
          <cell r="B1866" t="str">
            <v>RESTON</v>
          </cell>
        </row>
        <row r="1867">
          <cell r="A1867" t="str">
            <v>Loan Contact State Code</v>
          </cell>
          <cell r="B1867" t="str">
            <v>VA</v>
          </cell>
        </row>
        <row r="1868">
          <cell r="A1868" t="str">
            <v>Loan Contact Zip Code</v>
          </cell>
          <cell r="B1868">
            <v>201930000</v>
          </cell>
        </row>
        <row r="1869">
          <cell r="A1869" t="str">
            <v>Loan Contact Phone Number</v>
          </cell>
          <cell r="B1869" t="str">
            <v>888-272-5543</v>
          </cell>
        </row>
        <row r="1870">
          <cell r="A1870" t="str">
            <v>Loan Contact Phone Extension</v>
          </cell>
        </row>
        <row r="1871">
          <cell r="A1871" t="str">
            <v>Loan Contact Email Address</v>
          </cell>
        </row>
        <row r="1872">
          <cell r="A1872" t="str">
            <v>Loan Contact Web Site Address</v>
          </cell>
        </row>
        <row r="1873">
          <cell r="A1873" t="str">
            <v>Loan Contact Type</v>
          </cell>
          <cell r="B1873" t="str">
            <v>Current Guaranty Agency</v>
          </cell>
        </row>
        <row r="1874">
          <cell r="A1874" t="str">
            <v>Loan Contact Name</v>
          </cell>
          <cell r="B1874" t="str">
            <v>LOUISIANA OFFICE OF STUDENT FIN. ASST.</v>
          </cell>
        </row>
        <row r="1875">
          <cell r="A1875" t="str">
            <v>Loan Contact Street Address 1</v>
          </cell>
          <cell r="B1875" t="str">
            <v>P.O. BOX 91202</v>
          </cell>
        </row>
        <row r="1876">
          <cell r="A1876" t="str">
            <v>Loan Contact Street Address 2</v>
          </cell>
        </row>
        <row r="1877">
          <cell r="A1877" t="str">
            <v>Loan Contact City</v>
          </cell>
          <cell r="B1877" t="str">
            <v>BATON ROUGE</v>
          </cell>
        </row>
        <row r="1878">
          <cell r="A1878" t="str">
            <v>Loan Contact State Code</v>
          </cell>
          <cell r="B1878" t="str">
            <v>LA</v>
          </cell>
        </row>
        <row r="1879">
          <cell r="A1879" t="str">
            <v>Loan Contact Zip Code</v>
          </cell>
          <cell r="B1879">
            <v>708219202</v>
          </cell>
        </row>
        <row r="1880">
          <cell r="A1880" t="str">
            <v>Loan Contact Phone Number</v>
          </cell>
        </row>
        <row r="1881">
          <cell r="A1881" t="str">
            <v>Loan Contact Phone Extension</v>
          </cell>
        </row>
        <row r="1882">
          <cell r="A1882" t="str">
            <v>Loan Contact Email Address</v>
          </cell>
        </row>
        <row r="1883">
          <cell r="A1883" t="str">
            <v>Loan Contact Web Site Address</v>
          </cell>
        </row>
        <row r="1884">
          <cell r="A1884" t="str">
            <v>Loan Type</v>
          </cell>
          <cell r="B1884" t="str">
            <v>STAFFORD UNSUBSIDIZED</v>
          </cell>
        </row>
        <row r="1885">
          <cell r="A1885" t="str">
            <v>Loan Award ID</v>
          </cell>
        </row>
        <row r="1886">
          <cell r="A1886" t="str">
            <v>Loan Attending School Name</v>
          </cell>
          <cell r="B1886" t="str">
            <v>UNIVERSITY OF LOUISIANA AT MONROE</v>
          </cell>
        </row>
        <row r="1887">
          <cell r="A1887" t="str">
            <v>Loan Attending School OPEID</v>
          </cell>
          <cell r="B1887">
            <v>202000</v>
          </cell>
        </row>
        <row r="1888">
          <cell r="A1888" t="str">
            <v>Loan Date</v>
          </cell>
          <cell r="B1888">
            <v>38639</v>
          </cell>
        </row>
        <row r="1889">
          <cell r="A1889" t="str">
            <v>Loan Repayment Begin Date</v>
          </cell>
          <cell r="B1889">
            <v>38868</v>
          </cell>
        </row>
        <row r="1890">
          <cell r="A1890" t="str">
            <v>Loan Period Begin Date</v>
          </cell>
          <cell r="B1890">
            <v>38586</v>
          </cell>
        </row>
        <row r="1891">
          <cell r="A1891" t="str">
            <v>Loan Period End Date</v>
          </cell>
          <cell r="B1891">
            <v>38695</v>
          </cell>
        </row>
        <row r="1892">
          <cell r="A1892" t="str">
            <v>Loan Amount</v>
          </cell>
          <cell r="B1892">
            <v>5250</v>
          </cell>
        </row>
        <row r="1893">
          <cell r="A1893" t="str">
            <v>Loan Disbursed Amount</v>
          </cell>
          <cell r="B1893">
            <v>5250</v>
          </cell>
        </row>
        <row r="1894">
          <cell r="A1894" t="str">
            <v>Loan Canceled Amount</v>
          </cell>
          <cell r="B1894">
            <v>0</v>
          </cell>
        </row>
        <row r="1895">
          <cell r="A1895" t="str">
            <v>Loan Canceled Date</v>
          </cell>
        </row>
        <row r="1896">
          <cell r="A1896" t="str">
            <v>Loan Outstanding Principal Balance</v>
          </cell>
          <cell r="B1896">
            <v>0</v>
          </cell>
        </row>
        <row r="1897">
          <cell r="A1897" t="str">
            <v>Loan Outstanding Principal Balance as of Date</v>
          </cell>
          <cell r="B1897">
            <v>38868</v>
          </cell>
        </row>
        <row r="1898">
          <cell r="A1898" t="str">
            <v>Loan Outstanding Interest Balance</v>
          </cell>
          <cell r="B1898">
            <v>0</v>
          </cell>
        </row>
        <row r="1899">
          <cell r="A1899" t="str">
            <v>Loan Outstanding Interest Balance as of Date</v>
          </cell>
          <cell r="B1899">
            <v>38868</v>
          </cell>
        </row>
        <row r="1900">
          <cell r="A1900" t="str">
            <v>Loan Interest Rate Type</v>
          </cell>
          <cell r="B1900" t="str">
            <v>VARIABLE</v>
          </cell>
        </row>
        <row r="1901">
          <cell r="A1901" t="str">
            <v>Loan Interest Rate</v>
          </cell>
        </row>
        <row r="1902">
          <cell r="A1902" t="str">
            <v>Loan Repayment Plan Begin Date</v>
          </cell>
        </row>
        <row r="1903">
          <cell r="A1903" t="str">
            <v>Loan Repayment Plan Scheduled Amount</v>
          </cell>
        </row>
        <row r="1904">
          <cell r="A1904" t="str">
            <v>Loan Confirmed Subsidy Status</v>
          </cell>
        </row>
        <row r="1905">
          <cell r="A1905" t="str">
            <v>Loan Subsidized Usage in Years</v>
          </cell>
        </row>
        <row r="1906">
          <cell r="A1906" t="str">
            <v>Loan Reaffirmation Date</v>
          </cell>
        </row>
        <row r="1907">
          <cell r="A1907" t="str">
            <v>Loan Status</v>
          </cell>
          <cell r="B1907" t="str">
            <v>PN</v>
          </cell>
        </row>
        <row r="1908">
          <cell r="A1908" t="str">
            <v>Loan Status Description</v>
          </cell>
          <cell r="B1908" t="str">
            <v>NON-DEFAULTED, PAID IN FULL THROUGH CONSOLIDATION LOAN</v>
          </cell>
        </row>
        <row r="1909">
          <cell r="A1909" t="str">
            <v>Loan Status Effective Date</v>
          </cell>
          <cell r="B1909">
            <v>38868</v>
          </cell>
        </row>
        <row r="1910">
          <cell r="A1910" t="str">
            <v>Loan Status</v>
          </cell>
          <cell r="B1910" t="str">
            <v>IG</v>
          </cell>
        </row>
        <row r="1911">
          <cell r="A1911" t="str">
            <v>Loan Status Description</v>
          </cell>
          <cell r="B1911" t="str">
            <v>IN GRACE PERIOD</v>
          </cell>
        </row>
        <row r="1912">
          <cell r="A1912" t="str">
            <v>Loan Status Effective Date</v>
          </cell>
          <cell r="B1912">
            <v>38704</v>
          </cell>
        </row>
        <row r="1913">
          <cell r="A1913" t="str">
            <v>Loan Status</v>
          </cell>
          <cell r="B1913" t="str">
            <v>IA</v>
          </cell>
        </row>
        <row r="1914">
          <cell r="A1914" t="str">
            <v>Loan Status Description</v>
          </cell>
          <cell r="B1914" t="str">
            <v>LOAN ORIGINATED</v>
          </cell>
        </row>
        <row r="1915">
          <cell r="A1915" t="str">
            <v>Loan Status Effective Date</v>
          </cell>
          <cell r="B1915">
            <v>38639</v>
          </cell>
        </row>
        <row r="1916">
          <cell r="A1916" t="str">
            <v>Loan Disbursement Date</v>
          </cell>
          <cell r="B1916">
            <v>38645</v>
          </cell>
        </row>
        <row r="1917">
          <cell r="A1917" t="str">
            <v>Loan Disbursement Amount</v>
          </cell>
          <cell r="B1917">
            <v>5250</v>
          </cell>
        </row>
        <row r="1918">
          <cell r="A1918" t="str">
            <v>Loan Contact Type</v>
          </cell>
          <cell r="B1918" t="str">
            <v>Current Servicer</v>
          </cell>
        </row>
        <row r="1919">
          <cell r="A1919" t="str">
            <v>Loan Contact Name</v>
          </cell>
          <cell r="B1919" t="str">
            <v>NAVIENT SOLUTIONS, INC.</v>
          </cell>
        </row>
        <row r="1920">
          <cell r="A1920" t="str">
            <v>Loan Contact Street Address 1</v>
          </cell>
          <cell r="B1920" t="str">
            <v>220 LASLEY AVE</v>
          </cell>
        </row>
        <row r="1921">
          <cell r="A1921" t="str">
            <v>Loan Contact Street Address 2</v>
          </cell>
        </row>
        <row r="1922">
          <cell r="A1922" t="str">
            <v>Loan Contact City</v>
          </cell>
          <cell r="B1922" t="str">
            <v>WILKES-BARRE</v>
          </cell>
        </row>
        <row r="1923">
          <cell r="A1923" t="str">
            <v>Loan Contact State Code</v>
          </cell>
          <cell r="B1923" t="str">
            <v>PA</v>
          </cell>
        </row>
        <row r="1924">
          <cell r="A1924" t="str">
            <v>Loan Contact Zip Code</v>
          </cell>
          <cell r="B1924">
            <v>18706</v>
          </cell>
        </row>
        <row r="1925">
          <cell r="A1925" t="str">
            <v>Loan Contact Phone Number</v>
          </cell>
          <cell r="B1925" t="str">
            <v>888-272-5543</v>
          </cell>
        </row>
        <row r="1926">
          <cell r="A1926" t="str">
            <v>Loan Contact Phone Extension</v>
          </cell>
        </row>
        <row r="1927">
          <cell r="A1927" t="str">
            <v>Loan Contact Email Address</v>
          </cell>
        </row>
        <row r="1928">
          <cell r="A1928" t="str">
            <v>Loan Contact Web Site Address</v>
          </cell>
        </row>
        <row r="1929">
          <cell r="A1929" t="str">
            <v>Loan Contact Type</v>
          </cell>
          <cell r="B1929" t="str">
            <v>Current Lender</v>
          </cell>
        </row>
        <row r="1930">
          <cell r="A1930" t="str">
            <v>Loan Contact Name</v>
          </cell>
          <cell r="B1930" t="str">
            <v>BNY MELLON ELT NELLIE MAE</v>
          </cell>
        </row>
        <row r="1931">
          <cell r="A1931" t="str">
            <v>Loan Contact Street Address 1</v>
          </cell>
          <cell r="B1931" t="str">
            <v>2001 EDMUND HALLEY DR.</v>
          </cell>
        </row>
        <row r="1932">
          <cell r="A1932" t="str">
            <v>Loan Contact Street Address 2</v>
          </cell>
        </row>
        <row r="1933">
          <cell r="A1933" t="str">
            <v>Loan Contact City</v>
          </cell>
          <cell r="B1933" t="str">
            <v>RESTON</v>
          </cell>
        </row>
        <row r="1934">
          <cell r="A1934" t="str">
            <v>Loan Contact State Code</v>
          </cell>
          <cell r="B1934" t="str">
            <v>VA</v>
          </cell>
        </row>
        <row r="1935">
          <cell r="A1935" t="str">
            <v>Loan Contact Zip Code</v>
          </cell>
          <cell r="B1935">
            <v>201910000</v>
          </cell>
        </row>
        <row r="1936">
          <cell r="A1936" t="str">
            <v>Loan Contact Phone Number</v>
          </cell>
        </row>
        <row r="1937">
          <cell r="A1937" t="str">
            <v>Loan Contact Phone Extension</v>
          </cell>
        </row>
        <row r="1938">
          <cell r="A1938" t="str">
            <v>Loan Contact Email Address</v>
          </cell>
        </row>
        <row r="1939">
          <cell r="A1939" t="str">
            <v>Loan Contact Web Site Address</v>
          </cell>
        </row>
        <row r="1940">
          <cell r="A1940" t="str">
            <v>Loan Contact Type</v>
          </cell>
          <cell r="B1940" t="str">
            <v>Current Guaranty Agency</v>
          </cell>
        </row>
        <row r="1941">
          <cell r="A1941" t="str">
            <v>Loan Contact Name</v>
          </cell>
          <cell r="B1941" t="str">
            <v>USA FUNDS, INC.</v>
          </cell>
        </row>
        <row r="1942">
          <cell r="A1942" t="str">
            <v>Loan Contact Street Address 1</v>
          </cell>
          <cell r="B1942" t="str">
            <v>P.O. BOX 6180</v>
          </cell>
        </row>
        <row r="1943">
          <cell r="A1943" t="str">
            <v>Loan Contact Street Address 2</v>
          </cell>
        </row>
        <row r="1944">
          <cell r="A1944" t="str">
            <v>Loan Contact City</v>
          </cell>
          <cell r="B1944" t="str">
            <v>INDIANAPOLIS</v>
          </cell>
        </row>
        <row r="1945">
          <cell r="A1945" t="str">
            <v>Loan Contact State Code</v>
          </cell>
          <cell r="B1945" t="str">
            <v>IN</v>
          </cell>
        </row>
        <row r="1946">
          <cell r="A1946" t="str">
            <v>Loan Contact Zip Code</v>
          </cell>
          <cell r="B1946">
            <v>462066180</v>
          </cell>
        </row>
        <row r="1947">
          <cell r="A1947" t="str">
            <v>Loan Contact Phone Number</v>
          </cell>
        </row>
        <row r="1948">
          <cell r="A1948" t="str">
            <v>Loan Contact Phone Extension</v>
          </cell>
        </row>
        <row r="1949">
          <cell r="A1949" t="str">
            <v>Loan Contact Email Address</v>
          </cell>
        </row>
        <row r="1950">
          <cell r="A1950" t="str">
            <v>Loan Contact Web Site Address</v>
          </cell>
        </row>
        <row r="1951">
          <cell r="A1951" t="str">
            <v>Loan Type</v>
          </cell>
          <cell r="B1951" t="str">
            <v>STAFFORD UNSUBSIDIZED</v>
          </cell>
        </row>
        <row r="1952">
          <cell r="A1952" t="str">
            <v>Loan Award ID</v>
          </cell>
        </row>
        <row r="1953">
          <cell r="A1953" t="str">
            <v>Loan Attending School Name</v>
          </cell>
          <cell r="B1953" t="str">
            <v>UNIVERSITY OF NEW ORLEANS (THE)</v>
          </cell>
        </row>
        <row r="1954">
          <cell r="A1954" t="str">
            <v>Loan Attending School OPEID</v>
          </cell>
          <cell r="B1954">
            <v>201500</v>
          </cell>
        </row>
        <row r="1955">
          <cell r="A1955" t="str">
            <v>Loan Date</v>
          </cell>
          <cell r="B1955">
            <v>38579</v>
          </cell>
        </row>
        <row r="1956">
          <cell r="A1956" t="str">
            <v>Loan Repayment Begin Date</v>
          </cell>
          <cell r="B1956">
            <v>39984</v>
          </cell>
        </row>
        <row r="1957">
          <cell r="A1957" t="str">
            <v>Loan Period Begin Date</v>
          </cell>
          <cell r="B1957">
            <v>38586</v>
          </cell>
        </row>
        <row r="1958">
          <cell r="A1958" t="str">
            <v>Loan Period End Date</v>
          </cell>
          <cell r="B1958">
            <v>38702</v>
          </cell>
        </row>
        <row r="1959">
          <cell r="A1959" t="str">
            <v>Loan Amount</v>
          </cell>
          <cell r="B1959">
            <v>4440</v>
          </cell>
        </row>
        <row r="1960">
          <cell r="A1960" t="str">
            <v>Loan Disbursed Amount</v>
          </cell>
          <cell r="B1960">
            <v>0</v>
          </cell>
        </row>
        <row r="1961">
          <cell r="A1961" t="str">
            <v>Loan Canceled Amount</v>
          </cell>
          <cell r="B1961">
            <v>4440</v>
          </cell>
        </row>
        <row r="1962">
          <cell r="A1962" t="str">
            <v>Loan Canceled Date</v>
          </cell>
          <cell r="B1962">
            <v>38757</v>
          </cell>
        </row>
        <row r="1963">
          <cell r="A1963" t="str">
            <v>Loan Outstanding Principal Balance</v>
          </cell>
          <cell r="B1963">
            <v>0</v>
          </cell>
        </row>
        <row r="1964">
          <cell r="A1964" t="str">
            <v>Loan Outstanding Principal Balance as of Date</v>
          </cell>
          <cell r="B1964">
            <v>38754</v>
          </cell>
        </row>
        <row r="1965">
          <cell r="A1965" t="str">
            <v>Loan Outstanding Interest Balance</v>
          </cell>
          <cell r="B1965">
            <v>0</v>
          </cell>
        </row>
        <row r="1966">
          <cell r="A1966" t="str">
            <v>Loan Outstanding Interest Balance as of Date</v>
          </cell>
          <cell r="B1966">
            <v>38754</v>
          </cell>
        </row>
        <row r="1967">
          <cell r="A1967" t="str">
            <v>Loan Interest Rate Type</v>
          </cell>
          <cell r="B1967" t="str">
            <v>VARIABLE</v>
          </cell>
        </row>
        <row r="1968">
          <cell r="A1968" t="str">
            <v>Loan Interest Rate</v>
          </cell>
        </row>
        <row r="1969">
          <cell r="A1969" t="str">
            <v>Loan Repayment Plan Begin Date</v>
          </cell>
        </row>
        <row r="1970">
          <cell r="A1970" t="str">
            <v>Loan Repayment Plan Scheduled Amount</v>
          </cell>
        </row>
        <row r="1971">
          <cell r="A1971" t="str">
            <v>Loan Confirmed Subsidy Status</v>
          </cell>
        </row>
        <row r="1972">
          <cell r="A1972" t="str">
            <v>Loan Subsidized Usage in Years</v>
          </cell>
        </row>
        <row r="1973">
          <cell r="A1973" t="str">
            <v>Loan Reaffirmation Date</v>
          </cell>
        </row>
        <row r="1974">
          <cell r="A1974" t="str">
            <v>Loan Status</v>
          </cell>
          <cell r="B1974" t="str">
            <v>CA</v>
          </cell>
        </row>
        <row r="1975">
          <cell r="A1975" t="str">
            <v>Loan Status Description</v>
          </cell>
          <cell r="B1975" t="str">
            <v>CANCELLED</v>
          </cell>
        </row>
        <row r="1976">
          <cell r="A1976" t="str">
            <v>Loan Status Effective Date</v>
          </cell>
          <cell r="B1976">
            <v>38754</v>
          </cell>
        </row>
        <row r="1977">
          <cell r="A1977" t="str">
            <v>Loan Status</v>
          </cell>
          <cell r="B1977" t="str">
            <v>IG</v>
          </cell>
        </row>
        <row r="1978">
          <cell r="A1978" t="str">
            <v>Loan Status Description</v>
          </cell>
          <cell r="B1978" t="str">
            <v>IN GRACE PERIOD</v>
          </cell>
        </row>
        <row r="1979">
          <cell r="A1979" t="str">
            <v>Loan Status Effective Date</v>
          </cell>
          <cell r="B1979">
            <v>38703</v>
          </cell>
        </row>
        <row r="1980">
          <cell r="A1980" t="str">
            <v>Loan Status</v>
          </cell>
          <cell r="B1980" t="str">
            <v>IA</v>
          </cell>
        </row>
        <row r="1981">
          <cell r="A1981" t="str">
            <v>Loan Status Description</v>
          </cell>
          <cell r="B1981" t="str">
            <v>LOAN ORIGINATED</v>
          </cell>
        </row>
        <row r="1982">
          <cell r="A1982" t="str">
            <v>Loan Status Effective Date</v>
          </cell>
          <cell r="B1982">
            <v>38579</v>
          </cell>
        </row>
        <row r="1983">
          <cell r="A1983" t="str">
            <v>Loan Contact Type</v>
          </cell>
          <cell r="B1983" t="str">
            <v>Current Servicer</v>
          </cell>
        </row>
        <row r="1984">
          <cell r="A1984" t="str">
            <v>Loan Contact Name</v>
          </cell>
          <cell r="B1984" t="str">
            <v>NAVIENT SOLUTIONS, INC.</v>
          </cell>
        </row>
        <row r="1985">
          <cell r="A1985" t="str">
            <v>Loan Contact Street Address 1</v>
          </cell>
          <cell r="B1985" t="str">
            <v>220 LASLEY AVE</v>
          </cell>
        </row>
        <row r="1986">
          <cell r="A1986" t="str">
            <v>Loan Contact Street Address 2</v>
          </cell>
        </row>
        <row r="1987">
          <cell r="A1987" t="str">
            <v>Loan Contact City</v>
          </cell>
          <cell r="B1987" t="str">
            <v>WILKES-BARRE</v>
          </cell>
        </row>
        <row r="1988">
          <cell r="A1988" t="str">
            <v>Loan Contact State Code</v>
          </cell>
          <cell r="B1988" t="str">
            <v>PA</v>
          </cell>
        </row>
        <row r="1989">
          <cell r="A1989" t="str">
            <v>Loan Contact Zip Code</v>
          </cell>
          <cell r="B1989">
            <v>18706</v>
          </cell>
        </row>
        <row r="1990">
          <cell r="A1990" t="str">
            <v>Loan Contact Phone Number</v>
          </cell>
          <cell r="B1990" t="str">
            <v>888-272-5543</v>
          </cell>
        </row>
        <row r="1991">
          <cell r="A1991" t="str">
            <v>Loan Contact Phone Extension</v>
          </cell>
        </row>
        <row r="1992">
          <cell r="A1992" t="str">
            <v>Loan Contact Email Address</v>
          </cell>
        </row>
        <row r="1993">
          <cell r="A1993" t="str">
            <v>Loan Contact Web Site Address</v>
          </cell>
        </row>
        <row r="1994">
          <cell r="A1994" t="str">
            <v>Loan Contact Type</v>
          </cell>
          <cell r="B1994" t="str">
            <v>Current Lender</v>
          </cell>
        </row>
        <row r="1995">
          <cell r="A1995" t="str">
            <v>Loan Contact Name</v>
          </cell>
          <cell r="B1995" t="str">
            <v>JPMORGAN CHASE BANK, NA</v>
          </cell>
        </row>
        <row r="1996">
          <cell r="A1996" t="str">
            <v>Loan Contact Street Address 1</v>
          </cell>
          <cell r="B1996" t="str">
            <v>P O BOX 711004</v>
          </cell>
        </row>
        <row r="1997">
          <cell r="A1997" t="str">
            <v>Loan Contact Street Address 2</v>
          </cell>
        </row>
        <row r="1998">
          <cell r="A1998" t="str">
            <v>Loan Contact City</v>
          </cell>
          <cell r="B1998" t="str">
            <v>COLUMBUS</v>
          </cell>
        </row>
        <row r="1999">
          <cell r="A1999" t="str">
            <v>Loan Contact State Code</v>
          </cell>
          <cell r="B1999" t="str">
            <v>OH</v>
          </cell>
        </row>
        <row r="2000">
          <cell r="A2000" t="str">
            <v>Loan Contact Zip Code</v>
          </cell>
          <cell r="B2000">
            <v>432711004</v>
          </cell>
        </row>
        <row r="2001">
          <cell r="A2001" t="str">
            <v>Loan Contact Phone Number</v>
          </cell>
        </row>
        <row r="2002">
          <cell r="A2002" t="str">
            <v>Loan Contact Phone Extension</v>
          </cell>
        </row>
        <row r="2003">
          <cell r="A2003" t="str">
            <v>Loan Contact Email Address</v>
          </cell>
        </row>
        <row r="2004">
          <cell r="A2004" t="str">
            <v>Loan Contact Web Site Address</v>
          </cell>
        </row>
        <row r="2005">
          <cell r="A2005" t="str">
            <v>Loan Contact Type</v>
          </cell>
          <cell r="B2005" t="str">
            <v>Current Guaranty Agency</v>
          </cell>
        </row>
        <row r="2006">
          <cell r="A2006" t="str">
            <v>Loan Contact Name</v>
          </cell>
          <cell r="B2006" t="str">
            <v>LOUISIANA OFFICE OF STUDENT FIN. ASST.</v>
          </cell>
        </row>
        <row r="2007">
          <cell r="A2007" t="str">
            <v>Loan Contact Street Address 1</v>
          </cell>
          <cell r="B2007" t="str">
            <v>P.O. BOX 91202</v>
          </cell>
        </row>
        <row r="2008">
          <cell r="A2008" t="str">
            <v>Loan Contact Street Address 2</v>
          </cell>
        </row>
        <row r="2009">
          <cell r="A2009" t="str">
            <v>Loan Contact City</v>
          </cell>
          <cell r="B2009" t="str">
            <v>BATON ROUGE</v>
          </cell>
        </row>
        <row r="2010">
          <cell r="A2010" t="str">
            <v>Loan Contact State Code</v>
          </cell>
          <cell r="B2010" t="str">
            <v>LA</v>
          </cell>
        </row>
        <row r="2011">
          <cell r="A2011" t="str">
            <v>Loan Contact Zip Code</v>
          </cell>
          <cell r="B2011">
            <v>708219202</v>
          </cell>
        </row>
        <row r="2012">
          <cell r="A2012" t="str">
            <v>Loan Contact Phone Number</v>
          </cell>
        </row>
        <row r="2013">
          <cell r="A2013" t="str">
            <v>Loan Contact Phone Extension</v>
          </cell>
        </row>
        <row r="2014">
          <cell r="A2014" t="str">
            <v>Loan Contact Email Address</v>
          </cell>
        </row>
        <row r="2015">
          <cell r="A2015" t="str">
            <v>Loan Contact Web Site Address</v>
          </cell>
        </row>
        <row r="2016">
          <cell r="A2016" t="str">
            <v>Loan Type</v>
          </cell>
          <cell r="B2016" t="str">
            <v>FEDERAL PERKINS</v>
          </cell>
        </row>
        <row r="2017">
          <cell r="A2017" t="str">
            <v>Loan Award ID</v>
          </cell>
        </row>
        <row r="2018">
          <cell r="A2018" t="str">
            <v>Loan Attending School Name</v>
          </cell>
          <cell r="B2018" t="str">
            <v>UNIVERSITY OF NEW ORLEANS (THE)</v>
          </cell>
        </row>
        <row r="2019">
          <cell r="A2019" t="str">
            <v>Loan Attending School OPEID</v>
          </cell>
          <cell r="B2019">
            <v>201500</v>
          </cell>
        </row>
        <row r="2020">
          <cell r="A2020" t="str">
            <v>Loan Date</v>
          </cell>
          <cell r="B2020">
            <v>38507</v>
          </cell>
        </row>
        <row r="2021">
          <cell r="A2021" t="str">
            <v>Loan Repayment Begin Date</v>
          </cell>
          <cell r="B2021">
            <v>38839</v>
          </cell>
        </row>
        <row r="2022">
          <cell r="A2022" t="str">
            <v>Loan Period Begin Date</v>
          </cell>
          <cell r="B2022">
            <v>38505</v>
          </cell>
        </row>
        <row r="2023">
          <cell r="A2023" t="str">
            <v>Loan Period End Date</v>
          </cell>
          <cell r="B2023">
            <v>38562</v>
          </cell>
        </row>
        <row r="2024">
          <cell r="A2024" t="str">
            <v>Loan Amount</v>
          </cell>
          <cell r="B2024">
            <v>400</v>
          </cell>
        </row>
        <row r="2025">
          <cell r="A2025" t="str">
            <v>Loan Disbursed Amount</v>
          </cell>
          <cell r="B2025">
            <v>400</v>
          </cell>
        </row>
        <row r="2026">
          <cell r="A2026" t="str">
            <v>Loan Canceled Amount</v>
          </cell>
          <cell r="B2026">
            <v>0</v>
          </cell>
        </row>
        <row r="2027">
          <cell r="A2027" t="str">
            <v>Loan Canceled Date</v>
          </cell>
        </row>
        <row r="2028">
          <cell r="A2028" t="str">
            <v>Loan Outstanding Principal Balance</v>
          </cell>
          <cell r="B2028">
            <v>400</v>
          </cell>
        </row>
        <row r="2029">
          <cell r="A2029" t="str">
            <v>Loan Outstanding Principal Balance as of Date</v>
          </cell>
          <cell r="B2029">
            <v>39538</v>
          </cell>
        </row>
        <row r="2030">
          <cell r="A2030" t="str">
            <v>Loan Outstanding Interest Balance</v>
          </cell>
          <cell r="B2030">
            <v>0</v>
          </cell>
        </row>
        <row r="2031">
          <cell r="A2031" t="str">
            <v>Loan Outstanding Interest Balance as of Date</v>
          </cell>
        </row>
        <row r="2032">
          <cell r="A2032" t="str">
            <v>Loan Interest Rate Type</v>
          </cell>
        </row>
        <row r="2033">
          <cell r="A2033" t="str">
            <v>Loan Interest Rate</v>
          </cell>
          <cell r="B2033">
            <v>0.05</v>
          </cell>
        </row>
        <row r="2034">
          <cell r="A2034" t="str">
            <v>Loan Repayment Plan Begin Date</v>
          </cell>
        </row>
        <row r="2035">
          <cell r="A2035" t="str">
            <v>Loan Repayment Plan Scheduled Amount</v>
          </cell>
        </row>
        <row r="2036">
          <cell r="A2036" t="str">
            <v>Loan Confirmed Subsidy Status</v>
          </cell>
        </row>
        <row r="2037">
          <cell r="A2037" t="str">
            <v>Loan Subsidized Usage in Years</v>
          </cell>
        </row>
        <row r="2038">
          <cell r="A2038" t="str">
            <v>Loan Reaffirmation Date</v>
          </cell>
        </row>
        <row r="2039">
          <cell r="A2039" t="str">
            <v>Loan Status</v>
          </cell>
          <cell r="B2039" t="str">
            <v>IP</v>
          </cell>
        </row>
        <row r="2040">
          <cell r="A2040" t="str">
            <v>Loan Status Description</v>
          </cell>
          <cell r="B2040" t="str">
            <v>IN POST-DEFERMENT GRACE PERIOD</v>
          </cell>
        </row>
        <row r="2041">
          <cell r="A2041" t="str">
            <v>Loan Status Effective Date</v>
          </cell>
          <cell r="B2041">
            <v>39569</v>
          </cell>
        </row>
        <row r="2042">
          <cell r="A2042" t="str">
            <v>Loan Status</v>
          </cell>
          <cell r="B2042" t="str">
            <v>DA</v>
          </cell>
        </row>
        <row r="2043">
          <cell r="A2043" t="str">
            <v>Loan Status Description</v>
          </cell>
          <cell r="B2043" t="str">
            <v>DEFERRED</v>
          </cell>
        </row>
        <row r="2044">
          <cell r="A2044" t="str">
            <v>Loan Status Effective Date</v>
          </cell>
          <cell r="B2044">
            <v>39203</v>
          </cell>
        </row>
        <row r="2045">
          <cell r="A2045" t="str">
            <v>Loan Status</v>
          </cell>
          <cell r="B2045" t="str">
            <v>RP</v>
          </cell>
        </row>
        <row r="2046">
          <cell r="A2046" t="str">
            <v>Loan Status Description</v>
          </cell>
          <cell r="B2046" t="str">
            <v>IN REPAYMENT</v>
          </cell>
        </row>
        <row r="2047">
          <cell r="A2047" t="str">
            <v>Loan Status Effective Date</v>
          </cell>
          <cell r="B2047">
            <v>38839</v>
          </cell>
        </row>
        <row r="2048">
          <cell r="A2048" t="str">
            <v>Loan Status</v>
          </cell>
          <cell r="B2048" t="str">
            <v>IA</v>
          </cell>
        </row>
        <row r="2049">
          <cell r="A2049" t="str">
            <v>Loan Status Description</v>
          </cell>
          <cell r="B2049" t="str">
            <v>LOAN ORIGINATED</v>
          </cell>
        </row>
        <row r="2050">
          <cell r="A2050" t="str">
            <v>Loan Status Effective Date</v>
          </cell>
          <cell r="B2050">
            <v>38507</v>
          </cell>
        </row>
        <row r="2051">
          <cell r="A2051" t="str">
            <v>Loan Disbursement Date</v>
          </cell>
          <cell r="B2051">
            <v>38507</v>
          </cell>
        </row>
        <row r="2052">
          <cell r="A2052" t="str">
            <v>Loan Disbursement Amount</v>
          </cell>
          <cell r="B2052">
            <v>400</v>
          </cell>
        </row>
        <row r="2053">
          <cell r="A2053" t="str">
            <v>Loan Contact Type</v>
          </cell>
          <cell r="B2053" t="str">
            <v>Current Servicer</v>
          </cell>
        </row>
        <row r="2054">
          <cell r="A2054" t="str">
            <v>Loan Contact Name</v>
          </cell>
          <cell r="B2054" t="str">
            <v>UNIVERSITY OF NEW ORLEANS (THE)</v>
          </cell>
        </row>
        <row r="2055">
          <cell r="A2055" t="str">
            <v>Loan Contact Street Address 1</v>
          </cell>
          <cell r="B2055" t="str">
            <v>2000 LAKESHORE DRIVE</v>
          </cell>
        </row>
        <row r="2056">
          <cell r="A2056" t="str">
            <v>Loan Contact Street Address 2</v>
          </cell>
        </row>
        <row r="2057">
          <cell r="A2057" t="str">
            <v>Loan Contact City</v>
          </cell>
          <cell r="B2057" t="str">
            <v>NEW ORLEANS</v>
          </cell>
        </row>
        <row r="2058">
          <cell r="A2058" t="str">
            <v>Loan Contact State Code</v>
          </cell>
          <cell r="B2058" t="str">
            <v>LA</v>
          </cell>
        </row>
        <row r="2059">
          <cell r="A2059" t="str">
            <v>Loan Contact Zip Code</v>
          </cell>
          <cell r="B2059">
            <v>701480001</v>
          </cell>
        </row>
        <row r="2060">
          <cell r="A2060" t="str">
            <v>Loan Contact Phone Number</v>
          </cell>
        </row>
        <row r="2061">
          <cell r="A2061" t="str">
            <v>Loan Contact Phone Extension</v>
          </cell>
        </row>
        <row r="2062">
          <cell r="A2062" t="str">
            <v>Loan Contact Email Address</v>
          </cell>
        </row>
        <row r="2063">
          <cell r="A2063" t="str">
            <v>Loan Contact Web Site Address</v>
          </cell>
        </row>
        <row r="2064">
          <cell r="A2064" t="str">
            <v>Loan Type</v>
          </cell>
          <cell r="B2064" t="str">
            <v>STAFFORD UNSUBSIDIZED</v>
          </cell>
        </row>
        <row r="2065">
          <cell r="A2065" t="str">
            <v>Loan Award ID</v>
          </cell>
        </row>
        <row r="2066">
          <cell r="A2066" t="str">
            <v>Loan Attending School Name</v>
          </cell>
          <cell r="B2066" t="str">
            <v>UNIVERSITY OF NEW ORLEANS (THE)</v>
          </cell>
        </row>
        <row r="2067">
          <cell r="A2067" t="str">
            <v>Loan Attending School OPEID</v>
          </cell>
          <cell r="B2067">
            <v>201500</v>
          </cell>
        </row>
        <row r="2068">
          <cell r="A2068" t="str">
            <v>Loan Date</v>
          </cell>
          <cell r="B2068">
            <v>38484</v>
          </cell>
        </row>
        <row r="2069">
          <cell r="A2069" t="str">
            <v>Loan Repayment Begin Date</v>
          </cell>
          <cell r="B2069">
            <v>38522</v>
          </cell>
        </row>
        <row r="2070">
          <cell r="A2070" t="str">
            <v>Loan Period Begin Date</v>
          </cell>
          <cell r="B2070">
            <v>38492</v>
          </cell>
        </row>
        <row r="2071">
          <cell r="A2071" t="str">
            <v>Loan Period End Date</v>
          </cell>
          <cell r="B2071">
            <v>38515</v>
          </cell>
        </row>
        <row r="2072">
          <cell r="A2072" t="str">
            <v>Loan Amount</v>
          </cell>
          <cell r="B2072">
            <v>4323</v>
          </cell>
        </row>
        <row r="2073">
          <cell r="A2073" t="str">
            <v>Loan Disbursed Amount</v>
          </cell>
          <cell r="B2073">
            <v>4323</v>
          </cell>
        </row>
        <row r="2074">
          <cell r="A2074" t="str">
            <v>Loan Canceled Amount</v>
          </cell>
          <cell r="B2074">
            <v>0</v>
          </cell>
        </row>
        <row r="2075">
          <cell r="A2075" t="str">
            <v>Loan Canceled Date</v>
          </cell>
        </row>
        <row r="2076">
          <cell r="A2076" t="str">
            <v>Loan Outstanding Principal Balance</v>
          </cell>
          <cell r="B2076">
            <v>0</v>
          </cell>
        </row>
        <row r="2077">
          <cell r="A2077" t="str">
            <v>Loan Outstanding Principal Balance as of Date</v>
          </cell>
          <cell r="B2077">
            <v>38868</v>
          </cell>
        </row>
        <row r="2078">
          <cell r="A2078" t="str">
            <v>Loan Outstanding Interest Balance</v>
          </cell>
          <cell r="B2078">
            <v>0</v>
          </cell>
        </row>
        <row r="2079">
          <cell r="A2079" t="str">
            <v>Loan Outstanding Interest Balance as of Date</v>
          </cell>
          <cell r="B2079">
            <v>38868</v>
          </cell>
        </row>
        <row r="2080">
          <cell r="A2080" t="str">
            <v>Loan Interest Rate Type</v>
          </cell>
          <cell r="B2080" t="str">
            <v>VARIABLE</v>
          </cell>
        </row>
        <row r="2081">
          <cell r="A2081" t="str">
            <v>Loan Interest Rate</v>
          </cell>
        </row>
        <row r="2082">
          <cell r="A2082" t="str">
            <v>Loan Repayment Plan Begin Date</v>
          </cell>
        </row>
        <row r="2083">
          <cell r="A2083" t="str">
            <v>Loan Repayment Plan Scheduled Amount</v>
          </cell>
        </row>
        <row r="2084">
          <cell r="A2084" t="str">
            <v>Loan Confirmed Subsidy Status</v>
          </cell>
        </row>
        <row r="2085">
          <cell r="A2085" t="str">
            <v>Loan Subsidized Usage in Years</v>
          </cell>
        </row>
        <row r="2086">
          <cell r="A2086" t="str">
            <v>Loan Reaffirmation Date</v>
          </cell>
        </row>
        <row r="2087">
          <cell r="A2087" t="str">
            <v>Loan Status</v>
          </cell>
          <cell r="B2087" t="str">
            <v>PN</v>
          </cell>
        </row>
        <row r="2088">
          <cell r="A2088" t="str">
            <v>Loan Status Description</v>
          </cell>
          <cell r="B2088" t="str">
            <v>NON-DEFAULTED, PAID IN FULL THROUGH CONSOLIDATION LOAN</v>
          </cell>
        </row>
        <row r="2089">
          <cell r="A2089" t="str">
            <v>Loan Status Effective Date</v>
          </cell>
          <cell r="B2089">
            <v>38868</v>
          </cell>
        </row>
        <row r="2090">
          <cell r="A2090" t="str">
            <v>Loan Status</v>
          </cell>
          <cell r="B2090" t="str">
            <v>RP</v>
          </cell>
        </row>
        <row r="2091">
          <cell r="A2091" t="str">
            <v>Loan Status Description</v>
          </cell>
          <cell r="B2091" t="str">
            <v>IN REPAYMENT</v>
          </cell>
        </row>
        <row r="2092">
          <cell r="A2092" t="str">
            <v>Loan Status Effective Date</v>
          </cell>
          <cell r="B2092">
            <v>38522</v>
          </cell>
        </row>
        <row r="2093">
          <cell r="A2093" t="str">
            <v>Loan Status</v>
          </cell>
          <cell r="B2093" t="str">
            <v>IA</v>
          </cell>
        </row>
        <row r="2094">
          <cell r="A2094" t="str">
            <v>Loan Status Description</v>
          </cell>
          <cell r="B2094" t="str">
            <v>LOAN ORIGINATED</v>
          </cell>
        </row>
        <row r="2095">
          <cell r="A2095" t="str">
            <v>Loan Status Effective Date</v>
          </cell>
          <cell r="B2095">
            <v>38484</v>
          </cell>
        </row>
        <row r="2096">
          <cell r="A2096" t="str">
            <v>Loan Disbursement Date</v>
          </cell>
          <cell r="B2096">
            <v>38505</v>
          </cell>
        </row>
        <row r="2097">
          <cell r="A2097" t="str">
            <v>Loan Disbursement Amount</v>
          </cell>
          <cell r="B2097">
            <v>2161</v>
          </cell>
        </row>
        <row r="2098">
          <cell r="A2098" t="str">
            <v>Loan Disbursement Date</v>
          </cell>
          <cell r="B2098">
            <v>38502</v>
          </cell>
        </row>
        <row r="2099">
          <cell r="A2099" t="str">
            <v>Loan Disbursement Amount</v>
          </cell>
          <cell r="B2099">
            <v>2162</v>
          </cell>
        </row>
        <row r="2100">
          <cell r="A2100" t="str">
            <v>Loan Contact Type</v>
          </cell>
          <cell r="B2100" t="str">
            <v>Current Servicer</v>
          </cell>
        </row>
        <row r="2101">
          <cell r="A2101" t="str">
            <v>Loan Contact Name</v>
          </cell>
          <cell r="B2101" t="str">
            <v>NAVIENT SOLUTIONS, INC.</v>
          </cell>
        </row>
        <row r="2102">
          <cell r="A2102" t="str">
            <v>Loan Contact Street Address 1</v>
          </cell>
          <cell r="B2102" t="str">
            <v>220 LASLEY AVE</v>
          </cell>
        </row>
        <row r="2103">
          <cell r="A2103" t="str">
            <v>Loan Contact Street Address 2</v>
          </cell>
        </row>
        <row r="2104">
          <cell r="A2104" t="str">
            <v>Loan Contact City</v>
          </cell>
          <cell r="B2104" t="str">
            <v>WILKES-BARRE</v>
          </cell>
        </row>
        <row r="2105">
          <cell r="A2105" t="str">
            <v>Loan Contact State Code</v>
          </cell>
          <cell r="B2105" t="str">
            <v>PA</v>
          </cell>
        </row>
        <row r="2106">
          <cell r="A2106" t="str">
            <v>Loan Contact Zip Code</v>
          </cell>
          <cell r="B2106">
            <v>18706</v>
          </cell>
        </row>
        <row r="2107">
          <cell r="A2107" t="str">
            <v>Loan Contact Phone Number</v>
          </cell>
          <cell r="B2107" t="str">
            <v>888-272-5543</v>
          </cell>
        </row>
        <row r="2108">
          <cell r="A2108" t="str">
            <v>Loan Contact Phone Extension</v>
          </cell>
        </row>
        <row r="2109">
          <cell r="A2109" t="str">
            <v>Loan Contact Email Address</v>
          </cell>
        </row>
        <row r="2110">
          <cell r="A2110" t="str">
            <v>Loan Contact Web Site Address</v>
          </cell>
        </row>
        <row r="2111">
          <cell r="A2111" t="str">
            <v>Loan Contact Type</v>
          </cell>
          <cell r="B2111" t="str">
            <v>Current Lender</v>
          </cell>
        </row>
        <row r="2112">
          <cell r="A2112" t="str">
            <v>Loan Contact Name</v>
          </cell>
          <cell r="B2112" t="str">
            <v>JPMORGAN CHASE BANK, NA</v>
          </cell>
        </row>
        <row r="2113">
          <cell r="A2113" t="str">
            <v>Loan Contact Street Address 1</v>
          </cell>
          <cell r="B2113" t="str">
            <v>P O BOX 711004</v>
          </cell>
        </row>
        <row r="2114">
          <cell r="A2114" t="str">
            <v>Loan Contact Street Address 2</v>
          </cell>
        </row>
        <row r="2115">
          <cell r="A2115" t="str">
            <v>Loan Contact City</v>
          </cell>
          <cell r="B2115" t="str">
            <v>COLUMBUS</v>
          </cell>
        </row>
        <row r="2116">
          <cell r="A2116" t="str">
            <v>Loan Contact State Code</v>
          </cell>
          <cell r="B2116" t="str">
            <v>OH</v>
          </cell>
        </row>
        <row r="2117">
          <cell r="A2117" t="str">
            <v>Loan Contact Zip Code</v>
          </cell>
          <cell r="B2117">
            <v>432711004</v>
          </cell>
        </row>
        <row r="2118">
          <cell r="A2118" t="str">
            <v>Loan Contact Phone Number</v>
          </cell>
        </row>
        <row r="2119">
          <cell r="A2119" t="str">
            <v>Loan Contact Phone Extension</v>
          </cell>
        </row>
        <row r="2120">
          <cell r="A2120" t="str">
            <v>Loan Contact Email Address</v>
          </cell>
        </row>
        <row r="2121">
          <cell r="A2121" t="str">
            <v>Loan Contact Web Site Address</v>
          </cell>
        </row>
        <row r="2122">
          <cell r="A2122" t="str">
            <v>Loan Contact Type</v>
          </cell>
          <cell r="B2122" t="str">
            <v>Current Guaranty Agency</v>
          </cell>
        </row>
        <row r="2123">
          <cell r="A2123" t="str">
            <v>Loan Contact Name</v>
          </cell>
          <cell r="B2123" t="str">
            <v>LOUISIANA OFFICE OF STUDENT FIN. ASST.</v>
          </cell>
        </row>
        <row r="2124">
          <cell r="A2124" t="str">
            <v>Loan Contact Street Address 1</v>
          </cell>
          <cell r="B2124" t="str">
            <v>P.O. BOX 91202</v>
          </cell>
        </row>
        <row r="2125">
          <cell r="A2125" t="str">
            <v>Loan Contact Street Address 2</v>
          </cell>
        </row>
        <row r="2126">
          <cell r="A2126" t="str">
            <v>Loan Contact City</v>
          </cell>
          <cell r="B2126" t="str">
            <v>BATON ROUGE</v>
          </cell>
        </row>
        <row r="2127">
          <cell r="A2127" t="str">
            <v>Loan Contact State Code</v>
          </cell>
          <cell r="B2127" t="str">
            <v>LA</v>
          </cell>
        </row>
        <row r="2128">
          <cell r="A2128" t="str">
            <v>Loan Contact Zip Code</v>
          </cell>
          <cell r="B2128">
            <v>708219202</v>
          </cell>
        </row>
        <row r="2129">
          <cell r="A2129" t="str">
            <v>Loan Contact Phone Number</v>
          </cell>
        </row>
        <row r="2130">
          <cell r="A2130" t="str">
            <v>Loan Contact Phone Extension</v>
          </cell>
        </row>
        <row r="2131">
          <cell r="A2131" t="str">
            <v>Loan Contact Email Address</v>
          </cell>
        </row>
        <row r="2132">
          <cell r="A2132" t="str">
            <v>Loan Contact Web Site Address</v>
          </cell>
        </row>
        <row r="2133">
          <cell r="A2133" t="str">
            <v>Loan Type</v>
          </cell>
          <cell r="B2133" t="str">
            <v>STAFFORD UNSUBSIDIZED</v>
          </cell>
        </row>
        <row r="2134">
          <cell r="A2134" t="str">
            <v>Loan Award ID</v>
          </cell>
        </row>
        <row r="2135">
          <cell r="A2135" t="str">
            <v>Loan Attending School Name</v>
          </cell>
          <cell r="B2135" t="str">
            <v>UNIVERSITY OF NEW ORLEANS (THE)</v>
          </cell>
        </row>
        <row r="2136">
          <cell r="A2136" t="str">
            <v>Loan Attending School OPEID</v>
          </cell>
          <cell r="B2136">
            <v>201500</v>
          </cell>
        </row>
        <row r="2137">
          <cell r="A2137" t="str">
            <v>Loan Date</v>
          </cell>
          <cell r="B2137">
            <v>38205</v>
          </cell>
        </row>
        <row r="2138">
          <cell r="A2138" t="str">
            <v>Loan Repayment Begin Date</v>
          </cell>
          <cell r="B2138">
            <v>38522</v>
          </cell>
        </row>
        <row r="2139">
          <cell r="A2139" t="str">
            <v>Loan Period Begin Date</v>
          </cell>
          <cell r="B2139">
            <v>38220</v>
          </cell>
        </row>
        <row r="2140">
          <cell r="A2140" t="str">
            <v>Loan Period End Date</v>
          </cell>
          <cell r="B2140">
            <v>38485</v>
          </cell>
        </row>
        <row r="2141">
          <cell r="A2141" t="str">
            <v>Loan Amount</v>
          </cell>
          <cell r="B2141">
            <v>1500</v>
          </cell>
        </row>
        <row r="2142">
          <cell r="A2142" t="str">
            <v>Loan Disbursed Amount</v>
          </cell>
          <cell r="B2142">
            <v>750</v>
          </cell>
        </row>
        <row r="2143">
          <cell r="A2143" t="str">
            <v>Loan Canceled Amount</v>
          </cell>
          <cell r="B2143">
            <v>750</v>
          </cell>
        </row>
        <row r="2144">
          <cell r="A2144" t="str">
            <v>Loan Canceled Date</v>
          </cell>
          <cell r="B2144">
            <v>38372</v>
          </cell>
        </row>
        <row r="2145">
          <cell r="A2145" t="str">
            <v>Loan Outstanding Principal Balance</v>
          </cell>
          <cell r="B2145">
            <v>0</v>
          </cell>
        </row>
        <row r="2146">
          <cell r="A2146" t="str">
            <v>Loan Outstanding Principal Balance as of Date</v>
          </cell>
          <cell r="B2146">
            <v>38868</v>
          </cell>
        </row>
        <row r="2147">
          <cell r="A2147" t="str">
            <v>Loan Outstanding Interest Balance</v>
          </cell>
          <cell r="B2147">
            <v>0</v>
          </cell>
        </row>
        <row r="2148">
          <cell r="A2148" t="str">
            <v>Loan Outstanding Interest Balance as of Date</v>
          </cell>
          <cell r="B2148">
            <v>38868</v>
          </cell>
        </row>
        <row r="2149">
          <cell r="A2149" t="str">
            <v>Loan Interest Rate Type</v>
          </cell>
          <cell r="B2149" t="str">
            <v>VARIABLE</v>
          </cell>
        </row>
        <row r="2150">
          <cell r="A2150" t="str">
            <v>Loan Interest Rate</v>
          </cell>
        </row>
        <row r="2151">
          <cell r="A2151" t="str">
            <v>Loan Repayment Plan Begin Date</v>
          </cell>
        </row>
        <row r="2152">
          <cell r="A2152" t="str">
            <v>Loan Repayment Plan Scheduled Amount</v>
          </cell>
        </row>
        <row r="2153">
          <cell r="A2153" t="str">
            <v>Loan Confirmed Subsidy Status</v>
          </cell>
        </row>
        <row r="2154">
          <cell r="A2154" t="str">
            <v>Loan Subsidized Usage in Years</v>
          </cell>
        </row>
        <row r="2155">
          <cell r="A2155" t="str">
            <v>Loan Reaffirmation Date</v>
          </cell>
        </row>
        <row r="2156">
          <cell r="A2156" t="str">
            <v>Loan Status</v>
          </cell>
          <cell r="B2156" t="str">
            <v>PN</v>
          </cell>
        </row>
        <row r="2157">
          <cell r="A2157" t="str">
            <v>Loan Status Description</v>
          </cell>
          <cell r="B2157" t="str">
            <v>NON-DEFAULTED, PAID IN FULL THROUGH CONSOLIDATION LOAN</v>
          </cell>
        </row>
        <row r="2158">
          <cell r="A2158" t="str">
            <v>Loan Status Effective Date</v>
          </cell>
          <cell r="B2158">
            <v>38868</v>
          </cell>
        </row>
        <row r="2159">
          <cell r="A2159" t="str">
            <v>Loan Status</v>
          </cell>
          <cell r="B2159" t="str">
            <v>RP</v>
          </cell>
        </row>
        <row r="2160">
          <cell r="A2160" t="str">
            <v>Loan Status Description</v>
          </cell>
          <cell r="B2160" t="str">
            <v>IN REPAYMENT</v>
          </cell>
        </row>
        <row r="2161">
          <cell r="A2161" t="str">
            <v>Loan Status Effective Date</v>
          </cell>
          <cell r="B2161">
            <v>38683</v>
          </cell>
        </row>
        <row r="2162">
          <cell r="A2162" t="str">
            <v>Loan Status</v>
          </cell>
          <cell r="B2162" t="str">
            <v>FB</v>
          </cell>
        </row>
        <row r="2163">
          <cell r="A2163" t="str">
            <v>Loan Status Description</v>
          </cell>
          <cell r="B2163" t="str">
            <v>FORBEARANCE</v>
          </cell>
        </row>
        <row r="2164">
          <cell r="A2164" t="str">
            <v>Loan Status Effective Date</v>
          </cell>
          <cell r="B2164">
            <v>38593</v>
          </cell>
        </row>
        <row r="2165">
          <cell r="A2165" t="str">
            <v>Loan Status</v>
          </cell>
          <cell r="B2165" t="str">
            <v>RP</v>
          </cell>
        </row>
        <row r="2166">
          <cell r="A2166" t="str">
            <v>Loan Status Description</v>
          </cell>
          <cell r="B2166" t="str">
            <v>IN REPAYMENT</v>
          </cell>
        </row>
        <row r="2167">
          <cell r="A2167" t="str">
            <v>Loan Status Effective Date</v>
          </cell>
          <cell r="B2167">
            <v>38522</v>
          </cell>
        </row>
        <row r="2168">
          <cell r="A2168" t="str">
            <v>Loan Status</v>
          </cell>
          <cell r="B2168" t="str">
            <v>IA</v>
          </cell>
        </row>
        <row r="2169">
          <cell r="A2169" t="str">
            <v>Loan Status Description</v>
          </cell>
          <cell r="B2169" t="str">
            <v>LOAN ORIGINATED</v>
          </cell>
        </row>
        <row r="2170">
          <cell r="A2170" t="str">
            <v>Loan Status Effective Date</v>
          </cell>
          <cell r="B2170">
            <v>38205</v>
          </cell>
        </row>
        <row r="2171">
          <cell r="A2171" t="str">
            <v>Loan Disbursement Date</v>
          </cell>
          <cell r="B2171">
            <v>38225</v>
          </cell>
        </row>
        <row r="2172">
          <cell r="A2172" t="str">
            <v>Loan Disbursement Amount</v>
          </cell>
          <cell r="B2172">
            <v>750</v>
          </cell>
        </row>
        <row r="2173">
          <cell r="A2173" t="str">
            <v>Loan Contact Type</v>
          </cell>
          <cell r="B2173" t="str">
            <v>Current Servicer</v>
          </cell>
        </row>
        <row r="2174">
          <cell r="A2174" t="str">
            <v>Loan Contact Name</v>
          </cell>
          <cell r="B2174" t="str">
            <v>NAVIENT SOLUTIONS, INC.</v>
          </cell>
        </row>
        <row r="2175">
          <cell r="A2175" t="str">
            <v>Loan Contact Street Address 1</v>
          </cell>
          <cell r="B2175" t="str">
            <v>220 LASLEY AVE</v>
          </cell>
        </row>
        <row r="2176">
          <cell r="A2176" t="str">
            <v>Loan Contact Street Address 2</v>
          </cell>
        </row>
        <row r="2177">
          <cell r="A2177" t="str">
            <v>Loan Contact City</v>
          </cell>
          <cell r="B2177" t="str">
            <v>WILKES-BARRE</v>
          </cell>
        </row>
        <row r="2178">
          <cell r="A2178" t="str">
            <v>Loan Contact State Code</v>
          </cell>
          <cell r="B2178" t="str">
            <v>PA</v>
          </cell>
        </row>
        <row r="2179">
          <cell r="A2179" t="str">
            <v>Loan Contact Zip Code</v>
          </cell>
          <cell r="B2179">
            <v>18706</v>
          </cell>
        </row>
        <row r="2180">
          <cell r="A2180" t="str">
            <v>Loan Contact Phone Number</v>
          </cell>
          <cell r="B2180" t="str">
            <v>888-272-5543</v>
          </cell>
        </row>
        <row r="2181">
          <cell r="A2181" t="str">
            <v>Loan Contact Phone Extension</v>
          </cell>
        </row>
        <row r="2182">
          <cell r="A2182" t="str">
            <v>Loan Contact Email Address</v>
          </cell>
        </row>
        <row r="2183">
          <cell r="A2183" t="str">
            <v>Loan Contact Web Site Address</v>
          </cell>
        </row>
        <row r="2184">
          <cell r="A2184" t="str">
            <v>Loan Contact Type</v>
          </cell>
          <cell r="B2184" t="str">
            <v>Current Lender</v>
          </cell>
        </row>
        <row r="2185">
          <cell r="A2185" t="str">
            <v>Loan Contact Name</v>
          </cell>
          <cell r="B2185" t="str">
            <v>JPMORGAN CHASE BANK, NA</v>
          </cell>
        </row>
        <row r="2186">
          <cell r="A2186" t="str">
            <v>Loan Contact Street Address 1</v>
          </cell>
          <cell r="B2186" t="str">
            <v>P O BOX 711004</v>
          </cell>
        </row>
        <row r="2187">
          <cell r="A2187" t="str">
            <v>Loan Contact Street Address 2</v>
          </cell>
        </row>
        <row r="2188">
          <cell r="A2188" t="str">
            <v>Loan Contact City</v>
          </cell>
          <cell r="B2188" t="str">
            <v>COLUMBUS</v>
          </cell>
        </row>
        <row r="2189">
          <cell r="A2189" t="str">
            <v>Loan Contact State Code</v>
          </cell>
          <cell r="B2189" t="str">
            <v>OH</v>
          </cell>
        </row>
        <row r="2190">
          <cell r="A2190" t="str">
            <v>Loan Contact Zip Code</v>
          </cell>
          <cell r="B2190">
            <v>432711004</v>
          </cell>
        </row>
        <row r="2191">
          <cell r="A2191" t="str">
            <v>Loan Contact Phone Number</v>
          </cell>
        </row>
        <row r="2192">
          <cell r="A2192" t="str">
            <v>Loan Contact Phone Extension</v>
          </cell>
        </row>
        <row r="2193">
          <cell r="A2193" t="str">
            <v>Loan Contact Email Address</v>
          </cell>
        </row>
        <row r="2194">
          <cell r="A2194" t="str">
            <v>Loan Contact Web Site Address</v>
          </cell>
        </row>
        <row r="2195">
          <cell r="A2195" t="str">
            <v>Loan Contact Type</v>
          </cell>
          <cell r="B2195" t="str">
            <v>Current Guaranty Agency</v>
          </cell>
        </row>
        <row r="2196">
          <cell r="A2196" t="str">
            <v>Loan Contact Name</v>
          </cell>
          <cell r="B2196" t="str">
            <v>LOUISIANA OFFICE OF STUDENT FIN. ASST.</v>
          </cell>
        </row>
        <row r="2197">
          <cell r="A2197" t="str">
            <v>Loan Contact Street Address 1</v>
          </cell>
          <cell r="B2197" t="str">
            <v>P.O. BOX 91202</v>
          </cell>
        </row>
        <row r="2198">
          <cell r="A2198" t="str">
            <v>Loan Contact Street Address 2</v>
          </cell>
        </row>
        <row r="2199">
          <cell r="A2199" t="str">
            <v>Loan Contact City</v>
          </cell>
          <cell r="B2199" t="str">
            <v>BATON ROUGE</v>
          </cell>
        </row>
        <row r="2200">
          <cell r="A2200" t="str">
            <v>Loan Contact State Code</v>
          </cell>
          <cell r="B2200" t="str">
            <v>LA</v>
          </cell>
        </row>
        <row r="2201">
          <cell r="A2201" t="str">
            <v>Loan Contact Zip Code</v>
          </cell>
          <cell r="B2201">
            <v>708219202</v>
          </cell>
        </row>
        <row r="2202">
          <cell r="A2202" t="str">
            <v>Loan Contact Phone Number</v>
          </cell>
        </row>
        <row r="2203">
          <cell r="A2203" t="str">
            <v>Loan Contact Phone Extension</v>
          </cell>
        </row>
        <row r="2204">
          <cell r="A2204" t="str">
            <v>Loan Contact Email Address</v>
          </cell>
        </row>
        <row r="2205">
          <cell r="A2205" t="str">
            <v>Loan Contact Web Site Address</v>
          </cell>
        </row>
        <row r="2206">
          <cell r="A2206" t="str">
            <v>Loan Type</v>
          </cell>
          <cell r="B2206" t="str">
            <v>STAFFORD UNSUBSIDIZED</v>
          </cell>
        </row>
        <row r="2207">
          <cell r="A2207" t="str">
            <v>Loan Award ID</v>
          </cell>
        </row>
        <row r="2208">
          <cell r="A2208" t="str">
            <v>Loan Attending School Name</v>
          </cell>
          <cell r="B2208" t="str">
            <v>UNIVERSITY OF NEW ORLEANS (THE)</v>
          </cell>
        </row>
        <row r="2209">
          <cell r="A2209" t="str">
            <v>Loan Attending School OPEID</v>
          </cell>
          <cell r="B2209">
            <v>201500</v>
          </cell>
        </row>
        <row r="2210">
          <cell r="A2210" t="str">
            <v>Loan Date</v>
          </cell>
          <cell r="B2210">
            <v>38175</v>
          </cell>
        </row>
        <row r="2211">
          <cell r="A2211" t="str">
            <v>Loan Repayment Begin Date</v>
          </cell>
          <cell r="B2211">
            <v>38522</v>
          </cell>
        </row>
        <row r="2212">
          <cell r="A2212" t="str">
            <v>Loan Period Begin Date</v>
          </cell>
          <cell r="B2212">
            <v>38220</v>
          </cell>
        </row>
        <row r="2213">
          <cell r="A2213" t="str">
            <v>Loan Period End Date</v>
          </cell>
          <cell r="B2213">
            <v>38485</v>
          </cell>
        </row>
        <row r="2214">
          <cell r="A2214" t="str">
            <v>Loan Amount</v>
          </cell>
          <cell r="B2214">
            <v>9000</v>
          </cell>
        </row>
        <row r="2215">
          <cell r="A2215" t="str">
            <v>Loan Disbursed Amount</v>
          </cell>
          <cell r="B2215">
            <v>4500</v>
          </cell>
        </row>
        <row r="2216">
          <cell r="A2216" t="str">
            <v>Loan Canceled Amount</v>
          </cell>
          <cell r="B2216">
            <v>4500</v>
          </cell>
        </row>
        <row r="2217">
          <cell r="A2217" t="str">
            <v>Loan Canceled Date</v>
          </cell>
          <cell r="B2217">
            <v>38372</v>
          </cell>
        </row>
        <row r="2218">
          <cell r="A2218" t="str">
            <v>Loan Outstanding Principal Balance</v>
          </cell>
          <cell r="B2218">
            <v>0</v>
          </cell>
        </row>
        <row r="2219">
          <cell r="A2219" t="str">
            <v>Loan Outstanding Principal Balance as of Date</v>
          </cell>
          <cell r="B2219">
            <v>38868</v>
          </cell>
        </row>
        <row r="2220">
          <cell r="A2220" t="str">
            <v>Loan Outstanding Interest Balance</v>
          </cell>
          <cell r="B2220">
            <v>0</v>
          </cell>
        </row>
        <row r="2221">
          <cell r="A2221" t="str">
            <v>Loan Outstanding Interest Balance as of Date</v>
          </cell>
          <cell r="B2221">
            <v>38868</v>
          </cell>
        </row>
        <row r="2222">
          <cell r="A2222" t="str">
            <v>Loan Interest Rate Type</v>
          </cell>
          <cell r="B2222" t="str">
            <v>VARIABLE</v>
          </cell>
        </row>
        <row r="2223">
          <cell r="A2223" t="str">
            <v>Loan Interest Rate</v>
          </cell>
        </row>
        <row r="2224">
          <cell r="A2224" t="str">
            <v>Loan Repayment Plan Begin Date</v>
          </cell>
        </row>
        <row r="2225">
          <cell r="A2225" t="str">
            <v>Loan Repayment Plan Scheduled Amount</v>
          </cell>
        </row>
        <row r="2226">
          <cell r="A2226" t="str">
            <v>Loan Confirmed Subsidy Status</v>
          </cell>
        </row>
        <row r="2227">
          <cell r="A2227" t="str">
            <v>Loan Subsidized Usage in Years</v>
          </cell>
        </row>
        <row r="2228">
          <cell r="A2228" t="str">
            <v>Loan Reaffirmation Date</v>
          </cell>
        </row>
        <row r="2229">
          <cell r="A2229" t="str">
            <v>Loan Status</v>
          </cell>
          <cell r="B2229" t="str">
            <v>PN</v>
          </cell>
        </row>
        <row r="2230">
          <cell r="A2230" t="str">
            <v>Loan Status Description</v>
          </cell>
          <cell r="B2230" t="str">
            <v>NON-DEFAULTED, PAID IN FULL THROUGH CONSOLIDATION LOAN</v>
          </cell>
        </row>
        <row r="2231">
          <cell r="A2231" t="str">
            <v>Loan Status Effective Date</v>
          </cell>
          <cell r="B2231">
            <v>38868</v>
          </cell>
        </row>
        <row r="2232">
          <cell r="A2232" t="str">
            <v>Loan Status</v>
          </cell>
          <cell r="B2232" t="str">
            <v>RP</v>
          </cell>
        </row>
        <row r="2233">
          <cell r="A2233" t="str">
            <v>Loan Status Description</v>
          </cell>
          <cell r="B2233" t="str">
            <v>IN REPAYMENT</v>
          </cell>
        </row>
        <row r="2234">
          <cell r="A2234" t="str">
            <v>Loan Status Effective Date</v>
          </cell>
          <cell r="B2234">
            <v>38683</v>
          </cell>
        </row>
        <row r="2235">
          <cell r="A2235" t="str">
            <v>Loan Status</v>
          </cell>
          <cell r="B2235" t="str">
            <v>FB</v>
          </cell>
        </row>
        <row r="2236">
          <cell r="A2236" t="str">
            <v>Loan Status Description</v>
          </cell>
          <cell r="B2236" t="str">
            <v>FORBEARANCE</v>
          </cell>
        </row>
        <row r="2237">
          <cell r="A2237" t="str">
            <v>Loan Status Effective Date</v>
          </cell>
          <cell r="B2237">
            <v>38593</v>
          </cell>
        </row>
        <row r="2238">
          <cell r="A2238" t="str">
            <v>Loan Status</v>
          </cell>
          <cell r="B2238" t="str">
            <v>RP</v>
          </cell>
        </row>
        <row r="2239">
          <cell r="A2239" t="str">
            <v>Loan Status Description</v>
          </cell>
          <cell r="B2239" t="str">
            <v>IN REPAYMENT</v>
          </cell>
        </row>
        <row r="2240">
          <cell r="A2240" t="str">
            <v>Loan Status Effective Date</v>
          </cell>
          <cell r="B2240">
            <v>38522</v>
          </cell>
        </row>
        <row r="2241">
          <cell r="A2241" t="str">
            <v>Loan Status</v>
          </cell>
          <cell r="B2241" t="str">
            <v>IA</v>
          </cell>
        </row>
        <row r="2242">
          <cell r="A2242" t="str">
            <v>Loan Status Description</v>
          </cell>
          <cell r="B2242" t="str">
            <v>LOAN ORIGINATED</v>
          </cell>
        </row>
        <row r="2243">
          <cell r="A2243" t="str">
            <v>Loan Status Effective Date</v>
          </cell>
          <cell r="B2243">
            <v>38175</v>
          </cell>
        </row>
        <row r="2244">
          <cell r="A2244" t="str">
            <v>Loan Disbursement Date</v>
          </cell>
          <cell r="B2244">
            <v>38225</v>
          </cell>
        </row>
        <row r="2245">
          <cell r="A2245" t="str">
            <v>Loan Disbursement Amount</v>
          </cell>
          <cell r="B2245">
            <v>4500</v>
          </cell>
        </row>
        <row r="2246">
          <cell r="A2246" t="str">
            <v>Loan Contact Type</v>
          </cell>
          <cell r="B2246" t="str">
            <v>Current Servicer</v>
          </cell>
        </row>
        <row r="2247">
          <cell r="A2247" t="str">
            <v>Loan Contact Name</v>
          </cell>
          <cell r="B2247" t="str">
            <v>NAVIENT SOLUTIONS, INC.</v>
          </cell>
        </row>
        <row r="2248">
          <cell r="A2248" t="str">
            <v>Loan Contact Street Address 1</v>
          </cell>
          <cell r="B2248" t="str">
            <v>220 LASLEY AVE</v>
          </cell>
        </row>
        <row r="2249">
          <cell r="A2249" t="str">
            <v>Loan Contact Street Address 2</v>
          </cell>
        </row>
        <row r="2250">
          <cell r="A2250" t="str">
            <v>Loan Contact City</v>
          </cell>
          <cell r="B2250" t="str">
            <v>WILKES-BARRE</v>
          </cell>
        </row>
        <row r="2251">
          <cell r="A2251" t="str">
            <v>Loan Contact State Code</v>
          </cell>
          <cell r="B2251" t="str">
            <v>PA</v>
          </cell>
        </row>
        <row r="2252">
          <cell r="A2252" t="str">
            <v>Loan Contact Zip Code</v>
          </cell>
          <cell r="B2252">
            <v>18706</v>
          </cell>
        </row>
        <row r="2253">
          <cell r="A2253" t="str">
            <v>Loan Contact Phone Number</v>
          </cell>
          <cell r="B2253" t="str">
            <v>888-272-5543</v>
          </cell>
        </row>
        <row r="2254">
          <cell r="A2254" t="str">
            <v>Loan Contact Phone Extension</v>
          </cell>
        </row>
        <row r="2255">
          <cell r="A2255" t="str">
            <v>Loan Contact Email Address</v>
          </cell>
        </row>
        <row r="2256">
          <cell r="A2256" t="str">
            <v>Loan Contact Web Site Address</v>
          </cell>
        </row>
        <row r="2257">
          <cell r="A2257" t="str">
            <v>Loan Contact Type</v>
          </cell>
          <cell r="B2257" t="str">
            <v>Current Lender</v>
          </cell>
        </row>
        <row r="2258">
          <cell r="A2258" t="str">
            <v>Loan Contact Name</v>
          </cell>
          <cell r="B2258" t="str">
            <v>JPMORGAN CHASE BANK, NA</v>
          </cell>
        </row>
        <row r="2259">
          <cell r="A2259" t="str">
            <v>Loan Contact Street Address 1</v>
          </cell>
          <cell r="B2259" t="str">
            <v>P O BOX 711004</v>
          </cell>
        </row>
        <row r="2260">
          <cell r="A2260" t="str">
            <v>Loan Contact Street Address 2</v>
          </cell>
        </row>
        <row r="2261">
          <cell r="A2261" t="str">
            <v>Loan Contact City</v>
          </cell>
          <cell r="B2261" t="str">
            <v>COLUMBUS</v>
          </cell>
        </row>
        <row r="2262">
          <cell r="A2262" t="str">
            <v>Loan Contact State Code</v>
          </cell>
          <cell r="B2262" t="str">
            <v>OH</v>
          </cell>
        </row>
        <row r="2263">
          <cell r="A2263" t="str">
            <v>Loan Contact Zip Code</v>
          </cell>
          <cell r="B2263">
            <v>432711004</v>
          </cell>
        </row>
        <row r="2264">
          <cell r="A2264" t="str">
            <v>Loan Contact Phone Number</v>
          </cell>
        </row>
        <row r="2265">
          <cell r="A2265" t="str">
            <v>Loan Contact Phone Extension</v>
          </cell>
        </row>
        <row r="2266">
          <cell r="A2266" t="str">
            <v>Loan Contact Email Address</v>
          </cell>
        </row>
        <row r="2267">
          <cell r="A2267" t="str">
            <v>Loan Contact Web Site Address</v>
          </cell>
        </row>
        <row r="2268">
          <cell r="A2268" t="str">
            <v>Loan Contact Type</v>
          </cell>
          <cell r="B2268" t="str">
            <v>Current Guaranty Agency</v>
          </cell>
        </row>
        <row r="2269">
          <cell r="A2269" t="str">
            <v>Loan Contact Name</v>
          </cell>
          <cell r="B2269" t="str">
            <v>LOUISIANA OFFICE OF STUDENT FIN. ASST.</v>
          </cell>
        </row>
        <row r="2270">
          <cell r="A2270" t="str">
            <v>Loan Contact Street Address 1</v>
          </cell>
          <cell r="B2270" t="str">
            <v>P.O. BOX 91202</v>
          </cell>
        </row>
        <row r="2271">
          <cell r="A2271" t="str">
            <v>Loan Contact Street Address 2</v>
          </cell>
        </row>
        <row r="2272">
          <cell r="A2272" t="str">
            <v>Loan Contact City</v>
          </cell>
          <cell r="B2272" t="str">
            <v>BATON ROUGE</v>
          </cell>
        </row>
        <row r="2273">
          <cell r="A2273" t="str">
            <v>Loan Contact State Code</v>
          </cell>
          <cell r="B2273" t="str">
            <v>LA</v>
          </cell>
        </row>
        <row r="2274">
          <cell r="A2274" t="str">
            <v>Loan Contact Zip Code</v>
          </cell>
          <cell r="B2274">
            <v>708219202</v>
          </cell>
        </row>
        <row r="2275">
          <cell r="A2275" t="str">
            <v>Loan Contact Phone Number</v>
          </cell>
        </row>
        <row r="2276">
          <cell r="A2276" t="str">
            <v>Loan Contact Phone Extension</v>
          </cell>
        </row>
        <row r="2277">
          <cell r="A2277" t="str">
            <v>Loan Contact Email Address</v>
          </cell>
        </row>
        <row r="2278">
          <cell r="A2278" t="str">
            <v>Loan Contact Web Site Address</v>
          </cell>
        </row>
        <row r="2279">
          <cell r="A2279" t="str">
            <v>Loan Type</v>
          </cell>
          <cell r="B2279" t="str">
            <v>STAFFORD SUBSIDIZED</v>
          </cell>
        </row>
        <row r="2280">
          <cell r="A2280" t="str">
            <v>Loan Award ID</v>
          </cell>
        </row>
        <row r="2281">
          <cell r="A2281" t="str">
            <v>Loan Attending School Name</v>
          </cell>
          <cell r="B2281" t="str">
            <v>UNIVERSITY OF NEW ORLEANS (THE)</v>
          </cell>
        </row>
        <row r="2282">
          <cell r="A2282" t="str">
            <v>Loan Attending School OPEID</v>
          </cell>
          <cell r="B2282">
            <v>201500</v>
          </cell>
        </row>
        <row r="2283">
          <cell r="A2283" t="str">
            <v>Loan Date</v>
          </cell>
          <cell r="B2283">
            <v>37847</v>
          </cell>
        </row>
        <row r="2284">
          <cell r="A2284" t="str">
            <v>Loan Repayment Begin Date</v>
          </cell>
          <cell r="B2284">
            <v>38522</v>
          </cell>
        </row>
        <row r="2285">
          <cell r="A2285" t="str">
            <v>Loan Period Begin Date</v>
          </cell>
          <cell r="B2285">
            <v>37858</v>
          </cell>
        </row>
        <row r="2286">
          <cell r="A2286" t="str">
            <v>Loan Period End Date</v>
          </cell>
          <cell r="B2286">
            <v>38121</v>
          </cell>
        </row>
        <row r="2287">
          <cell r="A2287" t="str">
            <v>Loan Amount</v>
          </cell>
          <cell r="B2287">
            <v>5250</v>
          </cell>
        </row>
        <row r="2288">
          <cell r="A2288" t="str">
            <v>Loan Disbursed Amount</v>
          </cell>
          <cell r="B2288">
            <v>5250</v>
          </cell>
        </row>
        <row r="2289">
          <cell r="A2289" t="str">
            <v>Loan Canceled Amount</v>
          </cell>
          <cell r="B2289">
            <v>0</v>
          </cell>
        </row>
        <row r="2290">
          <cell r="A2290" t="str">
            <v>Loan Canceled Date</v>
          </cell>
        </row>
        <row r="2291">
          <cell r="A2291" t="str">
            <v>Loan Outstanding Principal Balance</v>
          </cell>
          <cell r="B2291">
            <v>0</v>
          </cell>
        </row>
        <row r="2292">
          <cell r="A2292" t="str">
            <v>Loan Outstanding Principal Balance as of Date</v>
          </cell>
          <cell r="B2292">
            <v>38868</v>
          </cell>
        </row>
        <row r="2293">
          <cell r="A2293" t="str">
            <v>Loan Outstanding Interest Balance</v>
          </cell>
          <cell r="B2293">
            <v>0</v>
          </cell>
        </row>
        <row r="2294">
          <cell r="A2294" t="str">
            <v>Loan Outstanding Interest Balance as of Date</v>
          </cell>
          <cell r="B2294">
            <v>38868</v>
          </cell>
        </row>
        <row r="2295">
          <cell r="A2295" t="str">
            <v>Loan Interest Rate Type</v>
          </cell>
          <cell r="B2295" t="str">
            <v>VARIABLE</v>
          </cell>
        </row>
        <row r="2296">
          <cell r="A2296" t="str">
            <v>Loan Interest Rate</v>
          </cell>
        </row>
        <row r="2297">
          <cell r="A2297" t="str">
            <v>Loan Repayment Plan Begin Date</v>
          </cell>
        </row>
        <row r="2298">
          <cell r="A2298" t="str">
            <v>Loan Repayment Plan Scheduled Amount</v>
          </cell>
        </row>
        <row r="2299">
          <cell r="A2299" t="str">
            <v>Loan Confirmed Subsidy Status</v>
          </cell>
        </row>
        <row r="2300">
          <cell r="A2300" t="str">
            <v>Loan Subsidized Usage in Years</v>
          </cell>
        </row>
        <row r="2301">
          <cell r="A2301" t="str">
            <v>Loan Reaffirmation Date</v>
          </cell>
        </row>
        <row r="2302">
          <cell r="A2302" t="str">
            <v>Loan Status</v>
          </cell>
          <cell r="B2302" t="str">
            <v>PN</v>
          </cell>
        </row>
        <row r="2303">
          <cell r="A2303" t="str">
            <v>Loan Status Description</v>
          </cell>
          <cell r="B2303" t="str">
            <v>NON-DEFAULTED, PAID IN FULL THROUGH CONSOLIDATION LOAN</v>
          </cell>
        </row>
        <row r="2304">
          <cell r="A2304" t="str">
            <v>Loan Status Effective Date</v>
          </cell>
          <cell r="B2304">
            <v>38868</v>
          </cell>
        </row>
        <row r="2305">
          <cell r="A2305" t="str">
            <v>Loan Status</v>
          </cell>
          <cell r="B2305" t="str">
            <v>RP</v>
          </cell>
        </row>
        <row r="2306">
          <cell r="A2306" t="str">
            <v>Loan Status Description</v>
          </cell>
          <cell r="B2306" t="str">
            <v>IN REPAYMENT</v>
          </cell>
        </row>
        <row r="2307">
          <cell r="A2307" t="str">
            <v>Loan Status Effective Date</v>
          </cell>
          <cell r="B2307">
            <v>38683</v>
          </cell>
        </row>
        <row r="2308">
          <cell r="A2308" t="str">
            <v>Loan Status</v>
          </cell>
          <cell r="B2308" t="str">
            <v>FB</v>
          </cell>
        </row>
        <row r="2309">
          <cell r="A2309" t="str">
            <v>Loan Status Description</v>
          </cell>
          <cell r="B2309" t="str">
            <v>FORBEARANCE</v>
          </cell>
        </row>
        <row r="2310">
          <cell r="A2310" t="str">
            <v>Loan Status Effective Date</v>
          </cell>
          <cell r="B2310">
            <v>38593</v>
          </cell>
        </row>
        <row r="2311">
          <cell r="A2311" t="str">
            <v>Loan Status</v>
          </cell>
          <cell r="B2311" t="str">
            <v>RP</v>
          </cell>
        </row>
        <row r="2312">
          <cell r="A2312" t="str">
            <v>Loan Status Description</v>
          </cell>
          <cell r="B2312" t="str">
            <v>IN REPAYMENT</v>
          </cell>
        </row>
        <row r="2313">
          <cell r="A2313" t="str">
            <v>Loan Status Effective Date</v>
          </cell>
          <cell r="B2313">
            <v>38522</v>
          </cell>
        </row>
        <row r="2314">
          <cell r="A2314" t="str">
            <v>Loan Status</v>
          </cell>
          <cell r="B2314" t="str">
            <v>IA</v>
          </cell>
        </row>
        <row r="2315">
          <cell r="A2315" t="str">
            <v>Loan Status Description</v>
          </cell>
          <cell r="B2315" t="str">
            <v>LOAN ORIGINATED</v>
          </cell>
        </row>
        <row r="2316">
          <cell r="A2316" t="str">
            <v>Loan Status Effective Date</v>
          </cell>
          <cell r="B2316">
            <v>37847</v>
          </cell>
        </row>
        <row r="2317">
          <cell r="A2317" t="str">
            <v>Loan Disbursement Date</v>
          </cell>
          <cell r="B2317">
            <v>38008</v>
          </cell>
        </row>
        <row r="2318">
          <cell r="A2318" t="str">
            <v>Loan Disbursement Amount</v>
          </cell>
          <cell r="B2318">
            <v>2625</v>
          </cell>
        </row>
        <row r="2319">
          <cell r="A2319" t="str">
            <v>Loan Disbursement Date</v>
          </cell>
          <cell r="B2319">
            <v>37861</v>
          </cell>
        </row>
        <row r="2320">
          <cell r="A2320" t="str">
            <v>Loan Disbursement Amount</v>
          </cell>
          <cell r="B2320">
            <v>2625</v>
          </cell>
        </row>
        <row r="2321">
          <cell r="A2321" t="str">
            <v>Loan Contact Type</v>
          </cell>
          <cell r="B2321" t="str">
            <v>Current Servicer</v>
          </cell>
        </row>
        <row r="2322">
          <cell r="A2322" t="str">
            <v>Loan Contact Name</v>
          </cell>
          <cell r="B2322" t="str">
            <v>NAVIENT SOLUTIONS, INC.</v>
          </cell>
        </row>
        <row r="2323">
          <cell r="A2323" t="str">
            <v>Loan Contact Street Address 1</v>
          </cell>
          <cell r="B2323" t="str">
            <v>220 LASLEY AVE</v>
          </cell>
        </row>
        <row r="2324">
          <cell r="A2324" t="str">
            <v>Loan Contact Street Address 2</v>
          </cell>
        </row>
        <row r="2325">
          <cell r="A2325" t="str">
            <v>Loan Contact City</v>
          </cell>
          <cell r="B2325" t="str">
            <v>WILKES-BARRE</v>
          </cell>
        </row>
        <row r="2326">
          <cell r="A2326" t="str">
            <v>Loan Contact State Code</v>
          </cell>
          <cell r="B2326" t="str">
            <v>PA</v>
          </cell>
        </row>
        <row r="2327">
          <cell r="A2327" t="str">
            <v>Loan Contact Zip Code</v>
          </cell>
          <cell r="B2327">
            <v>18706</v>
          </cell>
        </row>
        <row r="2328">
          <cell r="A2328" t="str">
            <v>Loan Contact Phone Number</v>
          </cell>
          <cell r="B2328" t="str">
            <v>888-272-5543</v>
          </cell>
        </row>
        <row r="2329">
          <cell r="A2329" t="str">
            <v>Loan Contact Phone Extension</v>
          </cell>
        </row>
        <row r="2330">
          <cell r="A2330" t="str">
            <v>Loan Contact Email Address</v>
          </cell>
        </row>
        <row r="2331">
          <cell r="A2331" t="str">
            <v>Loan Contact Web Site Address</v>
          </cell>
        </row>
        <row r="2332">
          <cell r="A2332" t="str">
            <v>Loan Contact Type</v>
          </cell>
          <cell r="B2332" t="str">
            <v>Current Lender</v>
          </cell>
        </row>
        <row r="2333">
          <cell r="A2333" t="str">
            <v>Loan Contact Name</v>
          </cell>
          <cell r="B2333" t="str">
            <v>DEUTSCHE BANK ELT NAVIENT &amp; SLM TRUSTS</v>
          </cell>
        </row>
        <row r="2334">
          <cell r="A2334" t="str">
            <v>Loan Contact Street Address 1</v>
          </cell>
          <cell r="B2334" t="str">
            <v>11600 SALLIE MAE DR,DEB SOUTHERLAND</v>
          </cell>
        </row>
        <row r="2335">
          <cell r="A2335" t="str">
            <v>Loan Contact Street Address 2</v>
          </cell>
        </row>
        <row r="2336">
          <cell r="A2336" t="str">
            <v>Loan Contact City</v>
          </cell>
          <cell r="B2336" t="str">
            <v>RESTON</v>
          </cell>
        </row>
        <row r="2337">
          <cell r="A2337" t="str">
            <v>Loan Contact State Code</v>
          </cell>
          <cell r="B2337" t="str">
            <v>VA</v>
          </cell>
        </row>
        <row r="2338">
          <cell r="A2338" t="str">
            <v>Loan Contact Zip Code</v>
          </cell>
          <cell r="B2338">
            <v>201930000</v>
          </cell>
        </row>
        <row r="2339">
          <cell r="A2339" t="str">
            <v>Loan Contact Phone Number</v>
          </cell>
          <cell r="B2339" t="str">
            <v>888-272-5543</v>
          </cell>
        </row>
        <row r="2340">
          <cell r="A2340" t="str">
            <v>Loan Contact Phone Extension</v>
          </cell>
        </row>
        <row r="2341">
          <cell r="A2341" t="str">
            <v>Loan Contact Email Address</v>
          </cell>
        </row>
        <row r="2342">
          <cell r="A2342" t="str">
            <v>Loan Contact Web Site Address</v>
          </cell>
        </row>
        <row r="2343">
          <cell r="A2343" t="str">
            <v>Loan Contact Type</v>
          </cell>
          <cell r="B2343" t="str">
            <v>Current Guaranty Agency</v>
          </cell>
        </row>
        <row r="2344">
          <cell r="A2344" t="str">
            <v>Loan Contact Name</v>
          </cell>
          <cell r="B2344" t="str">
            <v>LOUISIANA OFFICE OF STUDENT FIN. ASST.</v>
          </cell>
        </row>
        <row r="2345">
          <cell r="A2345" t="str">
            <v>Loan Contact Street Address 1</v>
          </cell>
          <cell r="B2345" t="str">
            <v>P.O. BOX 91202</v>
          </cell>
        </row>
        <row r="2346">
          <cell r="A2346" t="str">
            <v>Loan Contact Street Address 2</v>
          </cell>
        </row>
        <row r="2347">
          <cell r="A2347" t="str">
            <v>Loan Contact City</v>
          </cell>
          <cell r="B2347" t="str">
            <v>BATON ROUGE</v>
          </cell>
        </row>
        <row r="2348">
          <cell r="A2348" t="str">
            <v>Loan Contact State Code</v>
          </cell>
          <cell r="B2348" t="str">
            <v>LA</v>
          </cell>
        </row>
        <row r="2349">
          <cell r="A2349" t="str">
            <v>Loan Contact Zip Code</v>
          </cell>
          <cell r="B2349">
            <v>708219202</v>
          </cell>
        </row>
        <row r="2350">
          <cell r="A2350" t="str">
            <v>Loan Contact Phone Number</v>
          </cell>
        </row>
        <row r="2351">
          <cell r="A2351" t="str">
            <v>Loan Contact Phone Extension</v>
          </cell>
        </row>
        <row r="2352">
          <cell r="A2352" t="str">
            <v>Loan Contact Email Address</v>
          </cell>
        </row>
        <row r="2353">
          <cell r="A2353" t="str">
            <v>Loan Contact Web Site Address</v>
          </cell>
        </row>
        <row r="2354">
          <cell r="A2354" t="str">
            <v>Loan Type</v>
          </cell>
          <cell r="B2354" t="str">
            <v>STAFFORD SUBSIDIZED</v>
          </cell>
        </row>
        <row r="2355">
          <cell r="A2355" t="str">
            <v>Loan Award ID</v>
          </cell>
        </row>
        <row r="2356">
          <cell r="A2356" t="str">
            <v>Loan Attending School Name</v>
          </cell>
          <cell r="B2356" t="str">
            <v>UNIVERSITY OF NEW ORLEANS (THE)</v>
          </cell>
        </row>
        <row r="2357">
          <cell r="A2357" t="str">
            <v>Loan Attending School OPEID</v>
          </cell>
          <cell r="B2357">
            <v>201500</v>
          </cell>
        </row>
        <row r="2358">
          <cell r="A2358" t="str">
            <v>Loan Date</v>
          </cell>
          <cell r="B2358">
            <v>37482</v>
          </cell>
        </row>
        <row r="2359">
          <cell r="A2359" t="str">
            <v>Loan Repayment Begin Date</v>
          </cell>
          <cell r="B2359">
            <v>38522</v>
          </cell>
        </row>
        <row r="2360">
          <cell r="A2360" t="str">
            <v>Loan Period Begin Date</v>
          </cell>
          <cell r="B2360">
            <v>37492</v>
          </cell>
        </row>
        <row r="2361">
          <cell r="A2361" t="str">
            <v>Loan Period End Date</v>
          </cell>
          <cell r="B2361">
            <v>37757</v>
          </cell>
        </row>
        <row r="2362">
          <cell r="A2362" t="str">
            <v>Loan Amount</v>
          </cell>
          <cell r="B2362">
            <v>5500</v>
          </cell>
        </row>
        <row r="2363">
          <cell r="A2363" t="str">
            <v>Loan Disbursed Amount</v>
          </cell>
          <cell r="B2363">
            <v>5500</v>
          </cell>
        </row>
        <row r="2364">
          <cell r="A2364" t="str">
            <v>Loan Canceled Amount</v>
          </cell>
          <cell r="B2364">
            <v>0</v>
          </cell>
        </row>
        <row r="2365">
          <cell r="A2365" t="str">
            <v>Loan Canceled Date</v>
          </cell>
        </row>
        <row r="2366">
          <cell r="A2366" t="str">
            <v>Loan Outstanding Principal Balance</v>
          </cell>
          <cell r="B2366">
            <v>0</v>
          </cell>
        </row>
        <row r="2367">
          <cell r="A2367" t="str">
            <v>Loan Outstanding Principal Balance as of Date</v>
          </cell>
          <cell r="B2367">
            <v>38868</v>
          </cell>
        </row>
        <row r="2368">
          <cell r="A2368" t="str">
            <v>Loan Outstanding Interest Balance</v>
          </cell>
          <cell r="B2368">
            <v>0</v>
          </cell>
        </row>
        <row r="2369">
          <cell r="A2369" t="str">
            <v>Loan Outstanding Interest Balance as of Date</v>
          </cell>
          <cell r="B2369">
            <v>38868</v>
          </cell>
        </row>
        <row r="2370">
          <cell r="A2370" t="str">
            <v>Loan Interest Rate Type</v>
          </cell>
          <cell r="B2370" t="str">
            <v>VARIABLE</v>
          </cell>
        </row>
        <row r="2371">
          <cell r="A2371" t="str">
            <v>Loan Interest Rate</v>
          </cell>
        </row>
        <row r="2372">
          <cell r="A2372" t="str">
            <v>Loan Repayment Plan Begin Date</v>
          </cell>
        </row>
        <row r="2373">
          <cell r="A2373" t="str">
            <v>Loan Repayment Plan Scheduled Amount</v>
          </cell>
        </row>
        <row r="2374">
          <cell r="A2374" t="str">
            <v>Loan Confirmed Subsidy Status</v>
          </cell>
        </row>
        <row r="2375">
          <cell r="A2375" t="str">
            <v>Loan Subsidized Usage in Years</v>
          </cell>
        </row>
        <row r="2376">
          <cell r="A2376" t="str">
            <v>Loan Reaffirmation Date</v>
          </cell>
        </row>
        <row r="2377">
          <cell r="A2377" t="str">
            <v>Loan Status</v>
          </cell>
          <cell r="B2377" t="str">
            <v>PN</v>
          </cell>
        </row>
        <row r="2378">
          <cell r="A2378" t="str">
            <v>Loan Status Description</v>
          </cell>
          <cell r="B2378" t="str">
            <v>NON-DEFAULTED, PAID IN FULL THROUGH CONSOLIDATION LOAN</v>
          </cell>
        </row>
        <row r="2379">
          <cell r="A2379" t="str">
            <v>Loan Status Effective Date</v>
          </cell>
          <cell r="B2379">
            <v>38868</v>
          </cell>
        </row>
        <row r="2380">
          <cell r="A2380" t="str">
            <v>Loan Status</v>
          </cell>
          <cell r="B2380" t="str">
            <v>RP</v>
          </cell>
        </row>
        <row r="2381">
          <cell r="A2381" t="str">
            <v>Loan Status Description</v>
          </cell>
          <cell r="B2381" t="str">
            <v>IN REPAYMENT</v>
          </cell>
        </row>
        <row r="2382">
          <cell r="A2382" t="str">
            <v>Loan Status Effective Date</v>
          </cell>
          <cell r="B2382">
            <v>38683</v>
          </cell>
        </row>
        <row r="2383">
          <cell r="A2383" t="str">
            <v>Loan Status</v>
          </cell>
          <cell r="B2383" t="str">
            <v>FB</v>
          </cell>
        </row>
        <row r="2384">
          <cell r="A2384" t="str">
            <v>Loan Status Description</v>
          </cell>
          <cell r="B2384" t="str">
            <v>FORBEARANCE</v>
          </cell>
        </row>
        <row r="2385">
          <cell r="A2385" t="str">
            <v>Loan Status Effective Date</v>
          </cell>
          <cell r="B2385">
            <v>38593</v>
          </cell>
        </row>
        <row r="2386">
          <cell r="A2386" t="str">
            <v>Loan Status</v>
          </cell>
          <cell r="B2386" t="str">
            <v>RP</v>
          </cell>
        </row>
        <row r="2387">
          <cell r="A2387" t="str">
            <v>Loan Status Description</v>
          </cell>
          <cell r="B2387" t="str">
            <v>IN REPAYMENT</v>
          </cell>
        </row>
        <row r="2388">
          <cell r="A2388" t="str">
            <v>Loan Status Effective Date</v>
          </cell>
          <cell r="B2388">
            <v>38522</v>
          </cell>
        </row>
        <row r="2389">
          <cell r="A2389" t="str">
            <v>Loan Status</v>
          </cell>
          <cell r="B2389" t="str">
            <v>IA</v>
          </cell>
        </row>
        <row r="2390">
          <cell r="A2390" t="str">
            <v>Loan Status Description</v>
          </cell>
          <cell r="B2390" t="str">
            <v>LOAN ORIGINATED</v>
          </cell>
        </row>
        <row r="2391">
          <cell r="A2391" t="str">
            <v>Loan Status Effective Date</v>
          </cell>
          <cell r="B2391">
            <v>37482</v>
          </cell>
        </row>
        <row r="2392">
          <cell r="A2392" t="str">
            <v>Loan Disbursement Date</v>
          </cell>
          <cell r="B2392">
            <v>37630</v>
          </cell>
        </row>
        <row r="2393">
          <cell r="A2393" t="str">
            <v>Loan Disbursement Amount</v>
          </cell>
          <cell r="B2393">
            <v>2750</v>
          </cell>
        </row>
        <row r="2394">
          <cell r="A2394" t="str">
            <v>Loan Disbursement Date</v>
          </cell>
          <cell r="B2394">
            <v>37490</v>
          </cell>
        </row>
        <row r="2395">
          <cell r="A2395" t="str">
            <v>Loan Disbursement Amount</v>
          </cell>
          <cell r="B2395">
            <v>2750</v>
          </cell>
        </row>
        <row r="2396">
          <cell r="A2396" t="str">
            <v>Loan Contact Type</v>
          </cell>
          <cell r="B2396" t="str">
            <v>Current Servicer</v>
          </cell>
        </row>
        <row r="2397">
          <cell r="A2397" t="str">
            <v>Loan Contact Name</v>
          </cell>
          <cell r="B2397" t="str">
            <v>NAVIENT SOLUTIONS, INC.</v>
          </cell>
        </row>
        <row r="2398">
          <cell r="A2398" t="str">
            <v>Loan Contact Street Address 1</v>
          </cell>
          <cell r="B2398" t="str">
            <v>220 LASLEY AVE</v>
          </cell>
        </row>
        <row r="2399">
          <cell r="A2399" t="str">
            <v>Loan Contact Street Address 2</v>
          </cell>
        </row>
        <row r="2400">
          <cell r="A2400" t="str">
            <v>Loan Contact City</v>
          </cell>
          <cell r="B2400" t="str">
            <v>WILKES-BARRE</v>
          </cell>
        </row>
        <row r="2401">
          <cell r="A2401" t="str">
            <v>Loan Contact State Code</v>
          </cell>
          <cell r="B2401" t="str">
            <v>PA</v>
          </cell>
        </row>
        <row r="2402">
          <cell r="A2402" t="str">
            <v>Loan Contact Zip Code</v>
          </cell>
          <cell r="B2402">
            <v>18706</v>
          </cell>
        </row>
        <row r="2403">
          <cell r="A2403" t="str">
            <v>Loan Contact Phone Number</v>
          </cell>
          <cell r="B2403" t="str">
            <v>888-272-5543</v>
          </cell>
        </row>
        <row r="2404">
          <cell r="A2404" t="str">
            <v>Loan Contact Phone Extension</v>
          </cell>
        </row>
        <row r="2405">
          <cell r="A2405" t="str">
            <v>Loan Contact Email Address</v>
          </cell>
        </row>
        <row r="2406">
          <cell r="A2406" t="str">
            <v>Loan Contact Web Site Address</v>
          </cell>
        </row>
        <row r="2407">
          <cell r="A2407" t="str">
            <v>Loan Contact Type</v>
          </cell>
          <cell r="B2407" t="str">
            <v>Current Lender</v>
          </cell>
        </row>
        <row r="2408">
          <cell r="A2408" t="str">
            <v>Loan Contact Name</v>
          </cell>
          <cell r="B2408" t="str">
            <v>DEUTSCHE BANK ELT NAVIENT &amp; SLM TRUSTS</v>
          </cell>
        </row>
        <row r="2409">
          <cell r="A2409" t="str">
            <v>Loan Contact Street Address 1</v>
          </cell>
          <cell r="B2409" t="str">
            <v>11600 SALLIE MAE DR,DEB SOUTHERLAND</v>
          </cell>
        </row>
        <row r="2410">
          <cell r="A2410" t="str">
            <v>Loan Contact Street Address 2</v>
          </cell>
        </row>
        <row r="2411">
          <cell r="A2411" t="str">
            <v>Loan Contact City</v>
          </cell>
          <cell r="B2411" t="str">
            <v>RESTON</v>
          </cell>
        </row>
        <row r="2412">
          <cell r="A2412" t="str">
            <v>Loan Contact State Code</v>
          </cell>
          <cell r="B2412" t="str">
            <v>VA</v>
          </cell>
        </row>
        <row r="2413">
          <cell r="A2413" t="str">
            <v>Loan Contact Zip Code</v>
          </cell>
          <cell r="B2413">
            <v>201930000</v>
          </cell>
        </row>
        <row r="2414">
          <cell r="A2414" t="str">
            <v>Loan Contact Phone Number</v>
          </cell>
          <cell r="B2414" t="str">
            <v>888-272-5543</v>
          </cell>
        </row>
        <row r="2415">
          <cell r="A2415" t="str">
            <v>Loan Contact Phone Extension</v>
          </cell>
        </row>
        <row r="2416">
          <cell r="A2416" t="str">
            <v>Loan Contact Email Address</v>
          </cell>
        </row>
        <row r="2417">
          <cell r="A2417" t="str">
            <v>Loan Contact Web Site Address</v>
          </cell>
        </row>
        <row r="2418">
          <cell r="A2418" t="str">
            <v>Loan Contact Type</v>
          </cell>
          <cell r="B2418" t="str">
            <v>Current Guaranty Agency</v>
          </cell>
        </row>
        <row r="2419">
          <cell r="A2419" t="str">
            <v>Loan Contact Name</v>
          </cell>
          <cell r="B2419" t="str">
            <v>LOUISIANA OFFICE OF STUDENT FIN. ASST.</v>
          </cell>
        </row>
        <row r="2420">
          <cell r="A2420" t="str">
            <v>Loan Contact Street Address 1</v>
          </cell>
          <cell r="B2420" t="str">
            <v>P.O. BOX 91202</v>
          </cell>
        </row>
        <row r="2421">
          <cell r="A2421" t="str">
            <v>Loan Contact Street Address 2</v>
          </cell>
        </row>
        <row r="2422">
          <cell r="A2422" t="str">
            <v>Loan Contact City</v>
          </cell>
          <cell r="B2422" t="str">
            <v>BATON ROUGE</v>
          </cell>
        </row>
        <row r="2423">
          <cell r="A2423" t="str">
            <v>Loan Contact State Code</v>
          </cell>
          <cell r="B2423" t="str">
            <v>LA</v>
          </cell>
        </row>
        <row r="2424">
          <cell r="A2424" t="str">
            <v>Loan Contact Zip Code</v>
          </cell>
          <cell r="B2424">
            <v>708219202</v>
          </cell>
        </row>
        <row r="2425">
          <cell r="A2425" t="str">
            <v>Loan Contact Phone Number</v>
          </cell>
        </row>
        <row r="2426">
          <cell r="A2426" t="str">
            <v>Loan Contact Phone Extension</v>
          </cell>
        </row>
        <row r="2427">
          <cell r="A2427" t="str">
            <v>Loan Contact Email Address</v>
          </cell>
        </row>
        <row r="2428">
          <cell r="A2428" t="str">
            <v>Loan Contact Web Site Address</v>
          </cell>
        </row>
        <row r="2429">
          <cell r="A2429" t="str">
            <v>Loan Type</v>
          </cell>
          <cell r="B2429" t="str">
            <v>STAFFORD SUBSIDIZED</v>
          </cell>
        </row>
        <row r="2430">
          <cell r="A2430" t="str">
            <v>Loan Award ID</v>
          </cell>
        </row>
        <row r="2431">
          <cell r="A2431" t="str">
            <v>Loan Attending School Name</v>
          </cell>
          <cell r="B2431" t="str">
            <v>UNIVERSITY OF NEW ORLEANS (THE)</v>
          </cell>
        </row>
        <row r="2432">
          <cell r="A2432" t="str">
            <v>Loan Attending School OPEID</v>
          </cell>
          <cell r="B2432">
            <v>201500</v>
          </cell>
        </row>
        <row r="2433">
          <cell r="A2433" t="str">
            <v>Loan Date</v>
          </cell>
          <cell r="B2433">
            <v>37110</v>
          </cell>
        </row>
        <row r="2434">
          <cell r="A2434" t="str">
            <v>Loan Repayment Begin Date</v>
          </cell>
          <cell r="B2434">
            <v>38522</v>
          </cell>
        </row>
        <row r="2435">
          <cell r="A2435" t="str">
            <v>Loan Period Begin Date</v>
          </cell>
          <cell r="B2435">
            <v>37130</v>
          </cell>
        </row>
        <row r="2436">
          <cell r="A2436" t="str">
            <v>Loan Period End Date</v>
          </cell>
          <cell r="B2436">
            <v>37393</v>
          </cell>
        </row>
        <row r="2437">
          <cell r="A2437" t="str">
            <v>Loan Amount</v>
          </cell>
          <cell r="B2437">
            <v>3500</v>
          </cell>
        </row>
        <row r="2438">
          <cell r="A2438" t="str">
            <v>Loan Disbursed Amount</v>
          </cell>
          <cell r="B2438">
            <v>3500</v>
          </cell>
        </row>
        <row r="2439">
          <cell r="A2439" t="str">
            <v>Loan Canceled Amount</v>
          </cell>
          <cell r="B2439">
            <v>0</v>
          </cell>
        </row>
        <row r="2440">
          <cell r="A2440" t="str">
            <v>Loan Canceled Date</v>
          </cell>
        </row>
        <row r="2441">
          <cell r="A2441" t="str">
            <v>Loan Outstanding Principal Balance</v>
          </cell>
          <cell r="B2441">
            <v>0</v>
          </cell>
        </row>
        <row r="2442">
          <cell r="A2442" t="str">
            <v>Loan Outstanding Principal Balance as of Date</v>
          </cell>
          <cell r="B2442">
            <v>38868</v>
          </cell>
        </row>
        <row r="2443">
          <cell r="A2443" t="str">
            <v>Loan Outstanding Interest Balance</v>
          </cell>
          <cell r="B2443">
            <v>0</v>
          </cell>
        </row>
        <row r="2444">
          <cell r="A2444" t="str">
            <v>Loan Outstanding Interest Balance as of Date</v>
          </cell>
          <cell r="B2444">
            <v>38868</v>
          </cell>
        </row>
        <row r="2445">
          <cell r="A2445" t="str">
            <v>Loan Interest Rate Type</v>
          </cell>
          <cell r="B2445" t="str">
            <v>VARIABLE</v>
          </cell>
        </row>
        <row r="2446">
          <cell r="A2446" t="str">
            <v>Loan Interest Rate</v>
          </cell>
        </row>
        <row r="2447">
          <cell r="A2447" t="str">
            <v>Loan Repayment Plan Begin Date</v>
          </cell>
        </row>
        <row r="2448">
          <cell r="A2448" t="str">
            <v>Loan Repayment Plan Scheduled Amount</v>
          </cell>
        </row>
        <row r="2449">
          <cell r="A2449" t="str">
            <v>Loan Confirmed Subsidy Status</v>
          </cell>
        </row>
        <row r="2450">
          <cell r="A2450" t="str">
            <v>Loan Subsidized Usage in Years</v>
          </cell>
        </row>
        <row r="2451">
          <cell r="A2451" t="str">
            <v>Loan Reaffirmation Date</v>
          </cell>
        </row>
        <row r="2452">
          <cell r="A2452" t="str">
            <v>Loan Status</v>
          </cell>
          <cell r="B2452" t="str">
            <v>PN</v>
          </cell>
        </row>
        <row r="2453">
          <cell r="A2453" t="str">
            <v>Loan Status Description</v>
          </cell>
          <cell r="B2453" t="str">
            <v>NON-DEFAULTED, PAID IN FULL THROUGH CONSOLIDATION LOAN</v>
          </cell>
        </row>
        <row r="2454">
          <cell r="A2454" t="str">
            <v>Loan Status Effective Date</v>
          </cell>
          <cell r="B2454">
            <v>38868</v>
          </cell>
        </row>
        <row r="2455">
          <cell r="A2455" t="str">
            <v>Loan Status</v>
          </cell>
          <cell r="B2455" t="str">
            <v>RP</v>
          </cell>
        </row>
        <row r="2456">
          <cell r="A2456" t="str">
            <v>Loan Status Description</v>
          </cell>
          <cell r="B2456" t="str">
            <v>IN REPAYMENT</v>
          </cell>
        </row>
        <row r="2457">
          <cell r="A2457" t="str">
            <v>Loan Status Effective Date</v>
          </cell>
          <cell r="B2457">
            <v>38683</v>
          </cell>
        </row>
        <row r="2458">
          <cell r="A2458" t="str">
            <v>Loan Status</v>
          </cell>
          <cell r="B2458" t="str">
            <v>FB</v>
          </cell>
        </row>
        <row r="2459">
          <cell r="A2459" t="str">
            <v>Loan Status Description</v>
          </cell>
          <cell r="B2459" t="str">
            <v>FORBEARANCE</v>
          </cell>
        </row>
        <row r="2460">
          <cell r="A2460" t="str">
            <v>Loan Status Effective Date</v>
          </cell>
          <cell r="B2460">
            <v>38593</v>
          </cell>
        </row>
        <row r="2461">
          <cell r="A2461" t="str">
            <v>Loan Status</v>
          </cell>
          <cell r="B2461" t="str">
            <v>RP</v>
          </cell>
        </row>
        <row r="2462">
          <cell r="A2462" t="str">
            <v>Loan Status Description</v>
          </cell>
          <cell r="B2462" t="str">
            <v>IN REPAYMENT</v>
          </cell>
        </row>
        <row r="2463">
          <cell r="A2463" t="str">
            <v>Loan Status Effective Date</v>
          </cell>
          <cell r="B2463">
            <v>38522</v>
          </cell>
        </row>
        <row r="2464">
          <cell r="A2464" t="str">
            <v>Loan Status</v>
          </cell>
          <cell r="B2464" t="str">
            <v>IA</v>
          </cell>
        </row>
        <row r="2465">
          <cell r="A2465" t="str">
            <v>Loan Status Description</v>
          </cell>
          <cell r="B2465" t="str">
            <v>LOAN ORIGINATED</v>
          </cell>
        </row>
        <row r="2466">
          <cell r="A2466" t="str">
            <v>Loan Status Effective Date</v>
          </cell>
          <cell r="B2466">
            <v>37110</v>
          </cell>
        </row>
        <row r="2467">
          <cell r="A2467" t="str">
            <v>Loan Disbursement Date</v>
          </cell>
          <cell r="B2467">
            <v>37266</v>
          </cell>
        </row>
        <row r="2468">
          <cell r="A2468" t="str">
            <v>Loan Disbursement Amount</v>
          </cell>
          <cell r="B2468">
            <v>1750</v>
          </cell>
        </row>
        <row r="2469">
          <cell r="A2469" t="str">
            <v>Loan Disbursement Date</v>
          </cell>
          <cell r="B2469">
            <v>37126</v>
          </cell>
        </row>
        <row r="2470">
          <cell r="A2470" t="str">
            <v>Loan Disbursement Amount</v>
          </cell>
          <cell r="B2470">
            <v>1750</v>
          </cell>
        </row>
        <row r="2471">
          <cell r="A2471" t="str">
            <v>Loan Contact Type</v>
          </cell>
          <cell r="B2471" t="str">
            <v>Current Servicer</v>
          </cell>
        </row>
        <row r="2472">
          <cell r="A2472" t="str">
            <v>Loan Contact Name</v>
          </cell>
          <cell r="B2472" t="str">
            <v>NAVIENT SOLUTIONS, INC.</v>
          </cell>
        </row>
        <row r="2473">
          <cell r="A2473" t="str">
            <v>Loan Contact Street Address 1</v>
          </cell>
          <cell r="B2473" t="str">
            <v>220 LASLEY AVE</v>
          </cell>
        </row>
        <row r="2474">
          <cell r="A2474" t="str">
            <v>Loan Contact Street Address 2</v>
          </cell>
        </row>
        <row r="2475">
          <cell r="A2475" t="str">
            <v>Loan Contact City</v>
          </cell>
          <cell r="B2475" t="str">
            <v>WILKES-BARRE</v>
          </cell>
        </row>
        <row r="2476">
          <cell r="A2476" t="str">
            <v>Loan Contact State Code</v>
          </cell>
          <cell r="B2476" t="str">
            <v>PA</v>
          </cell>
        </row>
        <row r="2477">
          <cell r="A2477" t="str">
            <v>Loan Contact Zip Code</v>
          </cell>
          <cell r="B2477">
            <v>18706</v>
          </cell>
        </row>
        <row r="2478">
          <cell r="A2478" t="str">
            <v>Loan Contact Phone Number</v>
          </cell>
          <cell r="B2478" t="str">
            <v>888-272-5543</v>
          </cell>
        </row>
        <row r="2479">
          <cell r="A2479" t="str">
            <v>Loan Contact Phone Extension</v>
          </cell>
        </row>
        <row r="2480">
          <cell r="A2480" t="str">
            <v>Loan Contact Email Address</v>
          </cell>
        </row>
        <row r="2481">
          <cell r="A2481" t="str">
            <v>Loan Contact Web Site Address</v>
          </cell>
        </row>
        <row r="2482">
          <cell r="A2482" t="str">
            <v>Loan Contact Type</v>
          </cell>
          <cell r="B2482" t="str">
            <v>Current Lender</v>
          </cell>
        </row>
        <row r="2483">
          <cell r="A2483" t="str">
            <v>Loan Contact Name</v>
          </cell>
          <cell r="B2483" t="str">
            <v>DEUTSCHE BANK ELT NAVIENT &amp; SLM TRUSTS</v>
          </cell>
        </row>
        <row r="2484">
          <cell r="A2484" t="str">
            <v>Loan Contact Street Address 1</v>
          </cell>
          <cell r="B2484" t="str">
            <v>11600 SALLIE MAE DR,DEB SOUTHERLAND</v>
          </cell>
        </row>
        <row r="2485">
          <cell r="A2485" t="str">
            <v>Loan Contact Street Address 2</v>
          </cell>
        </row>
        <row r="2486">
          <cell r="A2486" t="str">
            <v>Loan Contact City</v>
          </cell>
          <cell r="B2486" t="str">
            <v>RESTON</v>
          </cell>
        </row>
        <row r="2487">
          <cell r="A2487" t="str">
            <v>Loan Contact State Code</v>
          </cell>
          <cell r="B2487" t="str">
            <v>VA</v>
          </cell>
        </row>
        <row r="2488">
          <cell r="A2488" t="str">
            <v>Loan Contact Zip Code</v>
          </cell>
          <cell r="B2488">
            <v>201930000</v>
          </cell>
        </row>
        <row r="2489">
          <cell r="A2489" t="str">
            <v>Loan Contact Phone Number</v>
          </cell>
          <cell r="B2489" t="str">
            <v>888-272-5543</v>
          </cell>
        </row>
        <row r="2490">
          <cell r="A2490" t="str">
            <v>Loan Contact Phone Extension</v>
          </cell>
        </row>
        <row r="2491">
          <cell r="A2491" t="str">
            <v>Loan Contact Email Address</v>
          </cell>
        </row>
        <row r="2492">
          <cell r="A2492" t="str">
            <v>Loan Contact Web Site Address</v>
          </cell>
        </row>
        <row r="2493">
          <cell r="A2493" t="str">
            <v>Loan Contact Type</v>
          </cell>
          <cell r="B2493" t="str">
            <v>Current Guaranty Agency</v>
          </cell>
        </row>
        <row r="2494">
          <cell r="A2494" t="str">
            <v>Loan Contact Name</v>
          </cell>
          <cell r="B2494" t="str">
            <v>LOUISIANA OFFICE OF STUDENT FIN. ASST.</v>
          </cell>
        </row>
        <row r="2495">
          <cell r="A2495" t="str">
            <v>Loan Contact Street Address 1</v>
          </cell>
          <cell r="B2495" t="str">
            <v>P.O. BOX 91202</v>
          </cell>
        </row>
        <row r="2496">
          <cell r="A2496" t="str">
            <v>Loan Contact Street Address 2</v>
          </cell>
        </row>
        <row r="2497">
          <cell r="A2497" t="str">
            <v>Loan Contact City</v>
          </cell>
          <cell r="B2497" t="str">
            <v>BATON ROUGE</v>
          </cell>
        </row>
        <row r="2498">
          <cell r="A2498" t="str">
            <v>Loan Contact State Code</v>
          </cell>
          <cell r="B2498" t="str">
            <v>LA</v>
          </cell>
        </row>
        <row r="2499">
          <cell r="A2499" t="str">
            <v>Loan Contact Zip Code</v>
          </cell>
          <cell r="B2499">
            <v>708219202</v>
          </cell>
        </row>
        <row r="2500">
          <cell r="A2500" t="str">
            <v>Loan Contact Phone Number</v>
          </cell>
        </row>
        <row r="2501">
          <cell r="A2501" t="str">
            <v>Loan Contact Phone Extension</v>
          </cell>
        </row>
        <row r="2502">
          <cell r="A2502" t="str">
            <v>Loan Contact Email Address</v>
          </cell>
        </row>
        <row r="2503">
          <cell r="A2503" t="str">
            <v>Loan Contact Web Site Address</v>
          </cell>
        </row>
        <row r="2504">
          <cell r="A2504" t="str">
            <v>Loan Type</v>
          </cell>
          <cell r="B2504" t="str">
            <v>STAFFORD SUBSIDIZED</v>
          </cell>
        </row>
        <row r="2505">
          <cell r="A2505" t="str">
            <v>Loan Award ID</v>
          </cell>
        </row>
        <row r="2506">
          <cell r="A2506" t="str">
            <v>Loan Attending School Name</v>
          </cell>
          <cell r="B2506" t="str">
            <v>UNIVERSITY OF NEW ORLEANS (THE)</v>
          </cell>
        </row>
        <row r="2507">
          <cell r="A2507" t="str">
            <v>Loan Attending School OPEID</v>
          </cell>
          <cell r="B2507">
            <v>201500</v>
          </cell>
        </row>
        <row r="2508">
          <cell r="A2508" t="str">
            <v>Loan Date</v>
          </cell>
          <cell r="B2508">
            <v>37047</v>
          </cell>
        </row>
        <row r="2509">
          <cell r="A2509" t="str">
            <v>Loan Repayment Begin Date</v>
          </cell>
          <cell r="B2509">
            <v>38522</v>
          </cell>
        </row>
        <row r="2510">
          <cell r="A2510" t="str">
            <v>Loan Period Begin Date</v>
          </cell>
          <cell r="B2510">
            <v>37049</v>
          </cell>
        </row>
        <row r="2511">
          <cell r="A2511" t="str">
            <v>Loan Period End Date</v>
          </cell>
          <cell r="B2511">
            <v>37102</v>
          </cell>
        </row>
        <row r="2512">
          <cell r="A2512" t="str">
            <v>Loan Amount</v>
          </cell>
          <cell r="B2512">
            <v>1750</v>
          </cell>
        </row>
        <row r="2513">
          <cell r="A2513" t="str">
            <v>Loan Disbursed Amount</v>
          </cell>
          <cell r="B2513">
            <v>1750</v>
          </cell>
        </row>
        <row r="2514">
          <cell r="A2514" t="str">
            <v>Loan Canceled Amount</v>
          </cell>
          <cell r="B2514">
            <v>0</v>
          </cell>
        </row>
        <row r="2515">
          <cell r="A2515" t="str">
            <v>Loan Canceled Date</v>
          </cell>
        </row>
        <row r="2516">
          <cell r="A2516" t="str">
            <v>Loan Outstanding Principal Balance</v>
          </cell>
          <cell r="B2516">
            <v>0</v>
          </cell>
        </row>
        <row r="2517">
          <cell r="A2517" t="str">
            <v>Loan Outstanding Principal Balance as of Date</v>
          </cell>
          <cell r="B2517">
            <v>38868</v>
          </cell>
        </row>
        <row r="2518">
          <cell r="A2518" t="str">
            <v>Loan Outstanding Interest Balance</v>
          </cell>
          <cell r="B2518">
            <v>0</v>
          </cell>
        </row>
        <row r="2519">
          <cell r="A2519" t="str">
            <v>Loan Outstanding Interest Balance as of Date</v>
          </cell>
          <cell r="B2519">
            <v>38868</v>
          </cell>
        </row>
        <row r="2520">
          <cell r="A2520" t="str">
            <v>Loan Interest Rate Type</v>
          </cell>
          <cell r="B2520" t="str">
            <v>VARIABLE</v>
          </cell>
        </row>
        <row r="2521">
          <cell r="A2521" t="str">
            <v>Loan Interest Rate</v>
          </cell>
        </row>
        <row r="2522">
          <cell r="A2522" t="str">
            <v>Loan Repayment Plan Begin Date</v>
          </cell>
        </row>
        <row r="2523">
          <cell r="A2523" t="str">
            <v>Loan Repayment Plan Scheduled Amount</v>
          </cell>
        </row>
        <row r="2524">
          <cell r="A2524" t="str">
            <v>Loan Confirmed Subsidy Status</v>
          </cell>
        </row>
        <row r="2525">
          <cell r="A2525" t="str">
            <v>Loan Subsidized Usage in Years</v>
          </cell>
        </row>
        <row r="2526">
          <cell r="A2526" t="str">
            <v>Loan Reaffirmation Date</v>
          </cell>
        </row>
        <row r="2527">
          <cell r="A2527" t="str">
            <v>Loan Status</v>
          </cell>
          <cell r="B2527" t="str">
            <v>PN</v>
          </cell>
        </row>
        <row r="2528">
          <cell r="A2528" t="str">
            <v>Loan Status Description</v>
          </cell>
          <cell r="B2528" t="str">
            <v>NON-DEFAULTED, PAID IN FULL THROUGH CONSOLIDATION LOAN</v>
          </cell>
        </row>
        <row r="2529">
          <cell r="A2529" t="str">
            <v>Loan Status Effective Date</v>
          </cell>
          <cell r="B2529">
            <v>38868</v>
          </cell>
        </row>
        <row r="2530">
          <cell r="A2530" t="str">
            <v>Loan Status</v>
          </cell>
          <cell r="B2530" t="str">
            <v>RP</v>
          </cell>
        </row>
        <row r="2531">
          <cell r="A2531" t="str">
            <v>Loan Status Description</v>
          </cell>
          <cell r="B2531" t="str">
            <v>IN REPAYMENT</v>
          </cell>
        </row>
        <row r="2532">
          <cell r="A2532" t="str">
            <v>Loan Status Effective Date</v>
          </cell>
          <cell r="B2532">
            <v>38683</v>
          </cell>
        </row>
        <row r="2533">
          <cell r="A2533" t="str">
            <v>Loan Status</v>
          </cell>
          <cell r="B2533" t="str">
            <v>FB</v>
          </cell>
        </row>
        <row r="2534">
          <cell r="A2534" t="str">
            <v>Loan Status Description</v>
          </cell>
          <cell r="B2534" t="str">
            <v>FORBEARANCE</v>
          </cell>
        </row>
        <row r="2535">
          <cell r="A2535" t="str">
            <v>Loan Status Effective Date</v>
          </cell>
          <cell r="B2535">
            <v>38593</v>
          </cell>
        </row>
        <row r="2536">
          <cell r="A2536" t="str">
            <v>Loan Status</v>
          </cell>
          <cell r="B2536" t="str">
            <v>RP</v>
          </cell>
        </row>
        <row r="2537">
          <cell r="A2537" t="str">
            <v>Loan Status Description</v>
          </cell>
          <cell r="B2537" t="str">
            <v>IN REPAYMENT</v>
          </cell>
        </row>
        <row r="2538">
          <cell r="A2538" t="str">
            <v>Loan Status Effective Date</v>
          </cell>
          <cell r="B2538">
            <v>38522</v>
          </cell>
        </row>
        <row r="2539">
          <cell r="A2539" t="str">
            <v>Loan Status</v>
          </cell>
          <cell r="B2539" t="str">
            <v>IA</v>
          </cell>
        </row>
        <row r="2540">
          <cell r="A2540" t="str">
            <v>Loan Status Description</v>
          </cell>
          <cell r="B2540" t="str">
            <v>LOAN ORIGINATED</v>
          </cell>
        </row>
        <row r="2541">
          <cell r="A2541" t="str">
            <v>Loan Status Effective Date</v>
          </cell>
          <cell r="B2541">
            <v>37047</v>
          </cell>
        </row>
        <row r="2542">
          <cell r="A2542" t="str">
            <v>Loan Disbursement Date</v>
          </cell>
          <cell r="B2542">
            <v>37056</v>
          </cell>
        </row>
        <row r="2543">
          <cell r="A2543" t="str">
            <v>Loan Disbursement Amount</v>
          </cell>
          <cell r="B2543">
            <v>1750</v>
          </cell>
        </row>
        <row r="2544">
          <cell r="A2544" t="str">
            <v>Loan Contact Type</v>
          </cell>
          <cell r="B2544" t="str">
            <v>Current Servicer</v>
          </cell>
        </row>
        <row r="2545">
          <cell r="A2545" t="str">
            <v>Loan Contact Name</v>
          </cell>
          <cell r="B2545" t="str">
            <v>NAVIENT SOLUTIONS, INC.</v>
          </cell>
        </row>
        <row r="2546">
          <cell r="A2546" t="str">
            <v>Loan Contact Street Address 1</v>
          </cell>
          <cell r="B2546" t="str">
            <v>220 LASLEY AVE</v>
          </cell>
        </row>
        <row r="2547">
          <cell r="A2547" t="str">
            <v>Loan Contact Street Address 2</v>
          </cell>
        </row>
        <row r="2548">
          <cell r="A2548" t="str">
            <v>Loan Contact City</v>
          </cell>
          <cell r="B2548" t="str">
            <v>WILKES-BARRE</v>
          </cell>
        </row>
        <row r="2549">
          <cell r="A2549" t="str">
            <v>Loan Contact State Code</v>
          </cell>
          <cell r="B2549" t="str">
            <v>PA</v>
          </cell>
        </row>
        <row r="2550">
          <cell r="A2550" t="str">
            <v>Loan Contact Zip Code</v>
          </cell>
          <cell r="B2550">
            <v>18706</v>
          </cell>
        </row>
        <row r="2551">
          <cell r="A2551" t="str">
            <v>Loan Contact Phone Number</v>
          </cell>
          <cell r="B2551" t="str">
            <v>888-272-5543</v>
          </cell>
        </row>
        <row r="2552">
          <cell r="A2552" t="str">
            <v>Loan Contact Phone Extension</v>
          </cell>
        </row>
        <row r="2553">
          <cell r="A2553" t="str">
            <v>Loan Contact Email Address</v>
          </cell>
        </row>
        <row r="2554">
          <cell r="A2554" t="str">
            <v>Loan Contact Web Site Address</v>
          </cell>
        </row>
        <row r="2555">
          <cell r="A2555" t="str">
            <v>Loan Contact Type</v>
          </cell>
          <cell r="B2555" t="str">
            <v>Current Lender</v>
          </cell>
        </row>
        <row r="2556">
          <cell r="A2556" t="str">
            <v>Loan Contact Name</v>
          </cell>
          <cell r="B2556" t="str">
            <v>DEUTSCHE BANK ELT NAVIENT &amp; SLM TRUSTS</v>
          </cell>
        </row>
        <row r="2557">
          <cell r="A2557" t="str">
            <v>Loan Contact Street Address 1</v>
          </cell>
          <cell r="B2557" t="str">
            <v>11600 SALLIE MAE DR,DEB SOUTHERLAND</v>
          </cell>
        </row>
        <row r="2558">
          <cell r="A2558" t="str">
            <v>Loan Contact Street Address 2</v>
          </cell>
        </row>
        <row r="2559">
          <cell r="A2559" t="str">
            <v>Loan Contact City</v>
          </cell>
          <cell r="B2559" t="str">
            <v>RESTON</v>
          </cell>
        </row>
        <row r="2560">
          <cell r="A2560" t="str">
            <v>Loan Contact State Code</v>
          </cell>
          <cell r="B2560" t="str">
            <v>VA</v>
          </cell>
        </row>
        <row r="2561">
          <cell r="A2561" t="str">
            <v>Loan Contact Zip Code</v>
          </cell>
          <cell r="B2561">
            <v>201930000</v>
          </cell>
        </row>
        <row r="2562">
          <cell r="A2562" t="str">
            <v>Loan Contact Phone Number</v>
          </cell>
          <cell r="B2562" t="str">
            <v>888-272-5543</v>
          </cell>
        </row>
        <row r="2563">
          <cell r="A2563" t="str">
            <v>Loan Contact Phone Extension</v>
          </cell>
        </row>
        <row r="2564">
          <cell r="A2564" t="str">
            <v>Loan Contact Email Address</v>
          </cell>
        </row>
        <row r="2565">
          <cell r="A2565" t="str">
            <v>Loan Contact Web Site Address</v>
          </cell>
        </row>
        <row r="2566">
          <cell r="A2566" t="str">
            <v>Loan Contact Type</v>
          </cell>
          <cell r="B2566" t="str">
            <v>Current Guaranty Agency</v>
          </cell>
        </row>
        <row r="2567">
          <cell r="A2567" t="str">
            <v>Loan Contact Name</v>
          </cell>
          <cell r="B2567" t="str">
            <v>LOUISIANA OFFICE OF STUDENT FIN. ASST.</v>
          </cell>
        </row>
        <row r="2568">
          <cell r="A2568" t="str">
            <v>Loan Contact Street Address 1</v>
          </cell>
          <cell r="B2568" t="str">
            <v>P.O. BOX 91202</v>
          </cell>
        </row>
        <row r="2569">
          <cell r="A2569" t="str">
            <v>Loan Contact Street Address 2</v>
          </cell>
        </row>
        <row r="2570">
          <cell r="A2570" t="str">
            <v>Loan Contact City</v>
          </cell>
          <cell r="B2570" t="str">
            <v>BATON ROUGE</v>
          </cell>
        </row>
        <row r="2571">
          <cell r="A2571" t="str">
            <v>Loan Contact State Code</v>
          </cell>
          <cell r="B2571" t="str">
            <v>LA</v>
          </cell>
        </row>
        <row r="2572">
          <cell r="A2572" t="str">
            <v>Loan Contact Zip Code</v>
          </cell>
          <cell r="B2572">
            <v>708219202</v>
          </cell>
        </row>
        <row r="2573">
          <cell r="A2573" t="str">
            <v>Loan Contact Phone Number</v>
          </cell>
        </row>
        <row r="2574">
          <cell r="A2574" t="str">
            <v>Loan Contact Phone Extension</v>
          </cell>
        </row>
        <row r="2575">
          <cell r="A2575" t="str">
            <v>Loan Contact Email Address</v>
          </cell>
        </row>
        <row r="2576">
          <cell r="A2576" t="str">
            <v>Loan Contact Web Site Address</v>
          </cell>
        </row>
        <row r="2577">
          <cell r="A2577" t="str">
            <v>Loan Type</v>
          </cell>
          <cell r="B2577" t="str">
            <v>STAFFORD SUBSIDIZED</v>
          </cell>
        </row>
        <row r="2578">
          <cell r="A2578" t="str">
            <v>Loan Award ID</v>
          </cell>
        </row>
        <row r="2579">
          <cell r="A2579" t="str">
            <v>Loan Attending School Name</v>
          </cell>
          <cell r="B2579" t="str">
            <v>UNIVERSITY OF NEW ORLEANS (THE)</v>
          </cell>
        </row>
        <row r="2580">
          <cell r="A2580" t="str">
            <v>Loan Attending School OPEID</v>
          </cell>
          <cell r="B2580">
            <v>201500</v>
          </cell>
        </row>
        <row r="2581">
          <cell r="A2581" t="str">
            <v>Loan Date</v>
          </cell>
          <cell r="B2581">
            <v>36755</v>
          </cell>
        </row>
        <row r="2582">
          <cell r="A2582" t="str">
            <v>Loan Repayment Begin Date</v>
          </cell>
          <cell r="B2582">
            <v>38522</v>
          </cell>
        </row>
        <row r="2583">
          <cell r="A2583" t="str">
            <v>Loan Period Begin Date</v>
          </cell>
          <cell r="B2583">
            <v>36759</v>
          </cell>
        </row>
        <row r="2584">
          <cell r="A2584" t="str">
            <v>Loan Period End Date</v>
          </cell>
          <cell r="B2584">
            <v>37023</v>
          </cell>
        </row>
        <row r="2585">
          <cell r="A2585" t="str">
            <v>Loan Amount</v>
          </cell>
          <cell r="B2585">
            <v>3500</v>
          </cell>
        </row>
        <row r="2586">
          <cell r="A2586" t="str">
            <v>Loan Disbursed Amount</v>
          </cell>
          <cell r="B2586">
            <v>1750</v>
          </cell>
        </row>
        <row r="2587">
          <cell r="A2587" t="str">
            <v>Loan Canceled Amount</v>
          </cell>
          <cell r="B2587">
            <v>1750</v>
          </cell>
        </row>
        <row r="2588">
          <cell r="A2588" t="str">
            <v>Loan Canceled Date</v>
          </cell>
          <cell r="B2588">
            <v>36902</v>
          </cell>
        </row>
        <row r="2589">
          <cell r="A2589" t="str">
            <v>Loan Outstanding Principal Balance</v>
          </cell>
          <cell r="B2589">
            <v>0</v>
          </cell>
        </row>
        <row r="2590">
          <cell r="A2590" t="str">
            <v>Loan Outstanding Principal Balance as of Date</v>
          </cell>
          <cell r="B2590">
            <v>38868</v>
          </cell>
        </row>
        <row r="2591">
          <cell r="A2591" t="str">
            <v>Loan Outstanding Interest Balance</v>
          </cell>
          <cell r="B2591">
            <v>0</v>
          </cell>
        </row>
        <row r="2592">
          <cell r="A2592" t="str">
            <v>Loan Outstanding Interest Balance as of Date</v>
          </cell>
          <cell r="B2592">
            <v>38868</v>
          </cell>
        </row>
        <row r="2593">
          <cell r="A2593" t="str">
            <v>Loan Interest Rate Type</v>
          </cell>
          <cell r="B2593" t="str">
            <v>VARIABLE</v>
          </cell>
        </row>
        <row r="2594">
          <cell r="A2594" t="str">
            <v>Loan Interest Rate</v>
          </cell>
        </row>
        <row r="2595">
          <cell r="A2595" t="str">
            <v>Loan Repayment Plan Begin Date</v>
          </cell>
        </row>
        <row r="2596">
          <cell r="A2596" t="str">
            <v>Loan Repayment Plan Scheduled Amount</v>
          </cell>
        </row>
        <row r="2597">
          <cell r="A2597" t="str">
            <v>Loan Confirmed Subsidy Status</v>
          </cell>
        </row>
        <row r="2598">
          <cell r="A2598" t="str">
            <v>Loan Subsidized Usage in Years</v>
          </cell>
        </row>
        <row r="2599">
          <cell r="A2599" t="str">
            <v>Loan Reaffirmation Date</v>
          </cell>
        </row>
        <row r="2600">
          <cell r="A2600" t="str">
            <v>Loan Status</v>
          </cell>
          <cell r="B2600" t="str">
            <v>PN</v>
          </cell>
        </row>
        <row r="2601">
          <cell r="A2601" t="str">
            <v>Loan Status Description</v>
          </cell>
          <cell r="B2601" t="str">
            <v>NON-DEFAULTED, PAID IN FULL THROUGH CONSOLIDATION LOAN</v>
          </cell>
        </row>
        <row r="2602">
          <cell r="A2602" t="str">
            <v>Loan Status Effective Date</v>
          </cell>
          <cell r="B2602">
            <v>38868</v>
          </cell>
        </row>
        <row r="2603">
          <cell r="A2603" t="str">
            <v>Loan Status</v>
          </cell>
          <cell r="B2603" t="str">
            <v>RP</v>
          </cell>
        </row>
        <row r="2604">
          <cell r="A2604" t="str">
            <v>Loan Status Description</v>
          </cell>
          <cell r="B2604" t="str">
            <v>IN REPAYMENT</v>
          </cell>
        </row>
        <row r="2605">
          <cell r="A2605" t="str">
            <v>Loan Status Effective Date</v>
          </cell>
          <cell r="B2605">
            <v>38683</v>
          </cell>
        </row>
        <row r="2606">
          <cell r="A2606" t="str">
            <v>Loan Status</v>
          </cell>
          <cell r="B2606" t="str">
            <v>FB</v>
          </cell>
        </row>
        <row r="2607">
          <cell r="A2607" t="str">
            <v>Loan Status Description</v>
          </cell>
          <cell r="B2607" t="str">
            <v>FORBEARANCE</v>
          </cell>
        </row>
        <row r="2608">
          <cell r="A2608" t="str">
            <v>Loan Status Effective Date</v>
          </cell>
          <cell r="B2608">
            <v>38593</v>
          </cell>
        </row>
        <row r="2609">
          <cell r="A2609" t="str">
            <v>Loan Status</v>
          </cell>
          <cell r="B2609" t="str">
            <v>RP</v>
          </cell>
        </row>
        <row r="2610">
          <cell r="A2610" t="str">
            <v>Loan Status Description</v>
          </cell>
          <cell r="B2610" t="str">
            <v>IN REPAYMENT</v>
          </cell>
        </row>
        <row r="2611">
          <cell r="A2611" t="str">
            <v>Loan Status Effective Date</v>
          </cell>
          <cell r="B2611">
            <v>38522</v>
          </cell>
        </row>
        <row r="2612">
          <cell r="A2612" t="str">
            <v>Loan Status</v>
          </cell>
          <cell r="B2612" t="str">
            <v>IA</v>
          </cell>
        </row>
        <row r="2613">
          <cell r="A2613" t="str">
            <v>Loan Status Description</v>
          </cell>
          <cell r="B2613" t="str">
            <v>LOAN ORIGINATED</v>
          </cell>
        </row>
        <row r="2614">
          <cell r="A2614" t="str">
            <v>Loan Status Effective Date</v>
          </cell>
          <cell r="B2614">
            <v>36755</v>
          </cell>
        </row>
        <row r="2615">
          <cell r="A2615" t="str">
            <v>Loan Disbursement Date</v>
          </cell>
          <cell r="B2615">
            <v>36756</v>
          </cell>
        </row>
        <row r="2616">
          <cell r="A2616" t="str">
            <v>Loan Disbursement Amount</v>
          </cell>
          <cell r="B2616">
            <v>1750</v>
          </cell>
        </row>
        <row r="2617">
          <cell r="A2617" t="str">
            <v>Loan Contact Type</v>
          </cell>
          <cell r="B2617" t="str">
            <v>Current Servicer</v>
          </cell>
        </row>
        <row r="2618">
          <cell r="A2618" t="str">
            <v>Loan Contact Name</v>
          </cell>
          <cell r="B2618" t="str">
            <v>NAVIENT SOLUTIONS, INC.</v>
          </cell>
        </row>
        <row r="2619">
          <cell r="A2619" t="str">
            <v>Loan Contact Street Address 1</v>
          </cell>
          <cell r="B2619" t="str">
            <v>220 LASLEY AVE</v>
          </cell>
        </row>
        <row r="2620">
          <cell r="A2620" t="str">
            <v>Loan Contact Street Address 2</v>
          </cell>
        </row>
        <row r="2621">
          <cell r="A2621" t="str">
            <v>Loan Contact City</v>
          </cell>
          <cell r="B2621" t="str">
            <v>WILKES-BARRE</v>
          </cell>
        </row>
        <row r="2622">
          <cell r="A2622" t="str">
            <v>Loan Contact State Code</v>
          </cell>
          <cell r="B2622" t="str">
            <v>PA</v>
          </cell>
        </row>
        <row r="2623">
          <cell r="A2623" t="str">
            <v>Loan Contact Zip Code</v>
          </cell>
          <cell r="B2623">
            <v>18706</v>
          </cell>
        </row>
        <row r="2624">
          <cell r="A2624" t="str">
            <v>Loan Contact Phone Number</v>
          </cell>
          <cell r="B2624" t="str">
            <v>888-272-5543</v>
          </cell>
        </row>
        <row r="2625">
          <cell r="A2625" t="str">
            <v>Loan Contact Phone Extension</v>
          </cell>
        </row>
        <row r="2626">
          <cell r="A2626" t="str">
            <v>Loan Contact Email Address</v>
          </cell>
        </row>
        <row r="2627">
          <cell r="A2627" t="str">
            <v>Loan Contact Web Site Address</v>
          </cell>
        </row>
        <row r="2628">
          <cell r="A2628" t="str">
            <v>Loan Contact Type</v>
          </cell>
          <cell r="B2628" t="str">
            <v>Current Lender</v>
          </cell>
        </row>
        <row r="2629">
          <cell r="A2629" t="str">
            <v>Loan Contact Name</v>
          </cell>
          <cell r="B2629" t="str">
            <v>DEUTSCHE BANK ELT NAVIENT &amp; SLM TRUSTS</v>
          </cell>
        </row>
        <row r="2630">
          <cell r="A2630" t="str">
            <v>Loan Contact Street Address 1</v>
          </cell>
          <cell r="B2630" t="str">
            <v>11600 SALLIE MAE DR,DEB SOUTHERLAND</v>
          </cell>
        </row>
        <row r="2631">
          <cell r="A2631" t="str">
            <v>Loan Contact Street Address 2</v>
          </cell>
        </row>
        <row r="2632">
          <cell r="A2632" t="str">
            <v>Loan Contact City</v>
          </cell>
          <cell r="B2632" t="str">
            <v>RESTON</v>
          </cell>
        </row>
        <row r="2633">
          <cell r="A2633" t="str">
            <v>Loan Contact State Code</v>
          </cell>
          <cell r="B2633" t="str">
            <v>VA</v>
          </cell>
        </row>
        <row r="2634">
          <cell r="A2634" t="str">
            <v>Loan Contact Zip Code</v>
          </cell>
          <cell r="B2634">
            <v>201930000</v>
          </cell>
        </row>
        <row r="2635">
          <cell r="A2635" t="str">
            <v>Loan Contact Phone Number</v>
          </cell>
          <cell r="B2635" t="str">
            <v>888-272-5543</v>
          </cell>
        </row>
        <row r="2636">
          <cell r="A2636" t="str">
            <v>Loan Contact Phone Extension</v>
          </cell>
        </row>
        <row r="2637">
          <cell r="A2637" t="str">
            <v>Loan Contact Email Address</v>
          </cell>
        </row>
        <row r="2638">
          <cell r="A2638" t="str">
            <v>Loan Contact Web Site Address</v>
          </cell>
        </row>
        <row r="2639">
          <cell r="A2639" t="str">
            <v>Loan Contact Type</v>
          </cell>
          <cell r="B2639" t="str">
            <v>Current Guaranty Agency</v>
          </cell>
        </row>
        <row r="2640">
          <cell r="A2640" t="str">
            <v>Loan Contact Name</v>
          </cell>
          <cell r="B2640" t="str">
            <v>LOUISIANA OFFICE OF STUDENT FIN. ASST.</v>
          </cell>
        </row>
        <row r="2641">
          <cell r="A2641" t="str">
            <v>Loan Contact Street Address 1</v>
          </cell>
          <cell r="B2641" t="str">
            <v>P.O. BOX 91202</v>
          </cell>
        </row>
        <row r="2642">
          <cell r="A2642" t="str">
            <v>Loan Contact Street Address 2</v>
          </cell>
        </row>
        <row r="2643">
          <cell r="A2643" t="str">
            <v>Loan Contact City</v>
          </cell>
          <cell r="B2643" t="str">
            <v>BATON ROUGE</v>
          </cell>
        </row>
        <row r="2644">
          <cell r="A2644" t="str">
            <v>Loan Contact State Code</v>
          </cell>
          <cell r="B2644" t="str">
            <v>LA</v>
          </cell>
        </row>
        <row r="2645">
          <cell r="A2645" t="str">
            <v>Loan Contact Zip Code</v>
          </cell>
          <cell r="B2645">
            <v>708219202</v>
          </cell>
        </row>
        <row r="2646">
          <cell r="A2646" t="str">
            <v>Loan Contact Phone Number</v>
          </cell>
        </row>
        <row r="2647">
          <cell r="A2647" t="str">
            <v>Loan Contact Phone Extension</v>
          </cell>
        </row>
        <row r="2648">
          <cell r="A2648" t="str">
            <v>Loan Contact Email Address</v>
          </cell>
        </row>
        <row r="2649">
          <cell r="A2649" t="str">
            <v>Loan Contact Web Site Address</v>
          </cell>
        </row>
        <row r="2650">
          <cell r="A2650" t="str">
            <v>Loan Type</v>
          </cell>
          <cell r="B2650" t="str">
            <v>STAFFORD SUBSIDIZED</v>
          </cell>
        </row>
        <row r="2651">
          <cell r="A2651" t="str">
            <v>Loan Award ID</v>
          </cell>
        </row>
        <row r="2652">
          <cell r="A2652" t="str">
            <v>Loan Attending School Name</v>
          </cell>
          <cell r="B2652" t="str">
            <v>UNIVERSITY OF NEW ORLEANS (THE)</v>
          </cell>
        </row>
        <row r="2653">
          <cell r="A2653" t="str">
            <v>Loan Attending School OPEID</v>
          </cell>
          <cell r="B2653">
            <v>201500</v>
          </cell>
        </row>
        <row r="2654">
          <cell r="A2654" t="str">
            <v>Loan Date</v>
          </cell>
          <cell r="B2654">
            <v>36396</v>
          </cell>
        </row>
        <row r="2655">
          <cell r="A2655" t="str">
            <v>Loan Repayment Begin Date</v>
          </cell>
          <cell r="B2655">
            <v>38522</v>
          </cell>
        </row>
        <row r="2656">
          <cell r="A2656" t="str">
            <v>Loan Period Begin Date</v>
          </cell>
          <cell r="B2656">
            <v>36395</v>
          </cell>
        </row>
        <row r="2657">
          <cell r="A2657" t="str">
            <v>Loan Period End Date</v>
          </cell>
          <cell r="B2657">
            <v>36665</v>
          </cell>
        </row>
        <row r="2658">
          <cell r="A2658" t="str">
            <v>Loan Amount</v>
          </cell>
          <cell r="B2658">
            <v>2625</v>
          </cell>
        </row>
        <row r="2659">
          <cell r="A2659" t="str">
            <v>Loan Disbursed Amount</v>
          </cell>
          <cell r="B2659">
            <v>2625</v>
          </cell>
        </row>
        <row r="2660">
          <cell r="A2660" t="str">
            <v>Loan Canceled Amount</v>
          </cell>
          <cell r="B2660">
            <v>0</v>
          </cell>
        </row>
        <row r="2661">
          <cell r="A2661" t="str">
            <v>Loan Canceled Date</v>
          </cell>
        </row>
        <row r="2662">
          <cell r="A2662" t="str">
            <v>Loan Outstanding Principal Balance</v>
          </cell>
          <cell r="B2662">
            <v>0</v>
          </cell>
        </row>
        <row r="2663">
          <cell r="A2663" t="str">
            <v>Loan Outstanding Principal Balance as of Date</v>
          </cell>
          <cell r="B2663">
            <v>38868</v>
          </cell>
        </row>
        <row r="2664">
          <cell r="A2664" t="str">
            <v>Loan Outstanding Interest Balance</v>
          </cell>
          <cell r="B2664">
            <v>0</v>
          </cell>
        </row>
        <row r="2665">
          <cell r="A2665" t="str">
            <v>Loan Outstanding Interest Balance as of Date</v>
          </cell>
          <cell r="B2665">
            <v>38868</v>
          </cell>
        </row>
        <row r="2666">
          <cell r="A2666" t="str">
            <v>Loan Interest Rate Type</v>
          </cell>
          <cell r="B2666" t="str">
            <v>VARIABLE</v>
          </cell>
        </row>
        <row r="2667">
          <cell r="A2667" t="str">
            <v>Loan Interest Rate</v>
          </cell>
        </row>
        <row r="2668">
          <cell r="A2668" t="str">
            <v>Loan Repayment Plan Begin Date</v>
          </cell>
        </row>
        <row r="2669">
          <cell r="A2669" t="str">
            <v>Loan Repayment Plan Scheduled Amount</v>
          </cell>
        </row>
        <row r="2670">
          <cell r="A2670" t="str">
            <v>Loan Confirmed Subsidy Status</v>
          </cell>
        </row>
        <row r="2671">
          <cell r="A2671" t="str">
            <v>Loan Subsidized Usage in Years</v>
          </cell>
        </row>
        <row r="2672">
          <cell r="A2672" t="str">
            <v>Loan Reaffirmation Date</v>
          </cell>
        </row>
        <row r="2673">
          <cell r="A2673" t="str">
            <v>Loan Status</v>
          </cell>
          <cell r="B2673" t="str">
            <v>PN</v>
          </cell>
        </row>
        <row r="2674">
          <cell r="A2674" t="str">
            <v>Loan Status Description</v>
          </cell>
          <cell r="B2674" t="str">
            <v>NON-DEFAULTED, PAID IN FULL THROUGH CONSOLIDATION LOAN</v>
          </cell>
        </row>
        <row r="2675">
          <cell r="A2675" t="str">
            <v>Loan Status Effective Date</v>
          </cell>
          <cell r="B2675">
            <v>38868</v>
          </cell>
        </row>
        <row r="2676">
          <cell r="A2676" t="str">
            <v>Loan Status</v>
          </cell>
          <cell r="B2676" t="str">
            <v>RP</v>
          </cell>
        </row>
        <row r="2677">
          <cell r="A2677" t="str">
            <v>Loan Status Description</v>
          </cell>
          <cell r="B2677" t="str">
            <v>IN REPAYMENT</v>
          </cell>
        </row>
        <row r="2678">
          <cell r="A2678" t="str">
            <v>Loan Status Effective Date</v>
          </cell>
          <cell r="B2678">
            <v>38683</v>
          </cell>
        </row>
        <row r="2679">
          <cell r="A2679" t="str">
            <v>Loan Status</v>
          </cell>
          <cell r="B2679" t="str">
            <v>FB</v>
          </cell>
        </row>
        <row r="2680">
          <cell r="A2680" t="str">
            <v>Loan Status Description</v>
          </cell>
          <cell r="B2680" t="str">
            <v>FORBEARANCE</v>
          </cell>
        </row>
        <row r="2681">
          <cell r="A2681" t="str">
            <v>Loan Status Effective Date</v>
          </cell>
          <cell r="B2681">
            <v>38593</v>
          </cell>
        </row>
        <row r="2682">
          <cell r="A2682" t="str">
            <v>Loan Status</v>
          </cell>
          <cell r="B2682" t="str">
            <v>RP</v>
          </cell>
        </row>
        <row r="2683">
          <cell r="A2683" t="str">
            <v>Loan Status Description</v>
          </cell>
          <cell r="B2683" t="str">
            <v>IN REPAYMENT</v>
          </cell>
        </row>
        <row r="2684">
          <cell r="A2684" t="str">
            <v>Loan Status Effective Date</v>
          </cell>
          <cell r="B2684">
            <v>38522</v>
          </cell>
        </row>
        <row r="2685">
          <cell r="A2685" t="str">
            <v>Loan Status</v>
          </cell>
          <cell r="B2685" t="str">
            <v>IA</v>
          </cell>
        </row>
        <row r="2686">
          <cell r="A2686" t="str">
            <v>Loan Status Description</v>
          </cell>
          <cell r="B2686" t="str">
            <v>LOAN ORIGINATED</v>
          </cell>
        </row>
        <row r="2687">
          <cell r="A2687" t="str">
            <v>Loan Status Effective Date</v>
          </cell>
          <cell r="B2687">
            <v>36396</v>
          </cell>
        </row>
        <row r="2688">
          <cell r="A2688" t="str">
            <v>Loan Status</v>
          </cell>
          <cell r="B2688" t="str">
            <v>ID</v>
          </cell>
        </row>
        <row r="2689">
          <cell r="A2689" t="str">
            <v>Loan Status Description</v>
          </cell>
          <cell r="B2689" t="str">
            <v>IN SCHOOL OR GRACE PERIOD</v>
          </cell>
        </row>
        <row r="2690">
          <cell r="A2690" t="str">
            <v>Loan Status Effective Date</v>
          </cell>
          <cell r="B2690">
            <v>36395</v>
          </cell>
        </row>
        <row r="2691">
          <cell r="A2691" t="str">
            <v>Loan Disbursement Date</v>
          </cell>
          <cell r="B2691">
            <v>36535</v>
          </cell>
        </row>
        <row r="2692">
          <cell r="A2692" t="str">
            <v>Loan Disbursement Amount</v>
          </cell>
          <cell r="B2692">
            <v>1312</v>
          </cell>
        </row>
        <row r="2693">
          <cell r="A2693" t="str">
            <v>Loan Disbursement Date</v>
          </cell>
          <cell r="B2693">
            <v>36397</v>
          </cell>
        </row>
        <row r="2694">
          <cell r="A2694" t="str">
            <v>Loan Disbursement Amount</v>
          </cell>
          <cell r="B2694">
            <v>1313</v>
          </cell>
        </row>
        <row r="2695">
          <cell r="A2695" t="str">
            <v>Loan Contact Type</v>
          </cell>
          <cell r="B2695" t="str">
            <v>Current Servicer</v>
          </cell>
        </row>
        <row r="2696">
          <cell r="A2696" t="str">
            <v>Loan Contact Name</v>
          </cell>
          <cell r="B2696" t="str">
            <v>NAVIENT SOLUTIONS, INC.</v>
          </cell>
        </row>
        <row r="2697">
          <cell r="A2697" t="str">
            <v>Loan Contact Street Address 1</v>
          </cell>
          <cell r="B2697" t="str">
            <v>220 LASLEY AVE</v>
          </cell>
        </row>
        <row r="2698">
          <cell r="A2698" t="str">
            <v>Loan Contact Street Address 2</v>
          </cell>
        </row>
        <row r="2699">
          <cell r="A2699" t="str">
            <v>Loan Contact City</v>
          </cell>
          <cell r="B2699" t="str">
            <v>WILKES-BARRE</v>
          </cell>
        </row>
        <row r="2700">
          <cell r="A2700" t="str">
            <v>Loan Contact State Code</v>
          </cell>
          <cell r="B2700" t="str">
            <v>PA</v>
          </cell>
        </row>
        <row r="2701">
          <cell r="A2701" t="str">
            <v>Loan Contact Zip Code</v>
          </cell>
          <cell r="B2701">
            <v>18706</v>
          </cell>
        </row>
        <row r="2702">
          <cell r="A2702" t="str">
            <v>Loan Contact Phone Number</v>
          </cell>
          <cell r="B2702" t="str">
            <v>888-272-5543</v>
          </cell>
        </row>
        <row r="2703">
          <cell r="A2703" t="str">
            <v>Loan Contact Phone Extension</v>
          </cell>
        </row>
        <row r="2704">
          <cell r="A2704" t="str">
            <v>Loan Contact Email Address</v>
          </cell>
        </row>
        <row r="2705">
          <cell r="A2705" t="str">
            <v>Loan Contact Web Site Address</v>
          </cell>
        </row>
        <row r="2706">
          <cell r="A2706" t="str">
            <v>Loan Contact Type</v>
          </cell>
          <cell r="B2706" t="str">
            <v>Current Lender</v>
          </cell>
        </row>
        <row r="2707">
          <cell r="A2707" t="str">
            <v>Loan Contact Name</v>
          </cell>
          <cell r="B2707" t="str">
            <v>NAVIENT CREDIT FINANCE CORP.</v>
          </cell>
        </row>
        <row r="2708">
          <cell r="A2708" t="str">
            <v>Loan Contact Street Address 1</v>
          </cell>
          <cell r="B2708" t="str">
            <v>2001 EDMUND HALLEY DR.</v>
          </cell>
        </row>
        <row r="2709">
          <cell r="A2709" t="str">
            <v>Loan Contact Street Address 2</v>
          </cell>
        </row>
        <row r="2710">
          <cell r="A2710" t="str">
            <v>Loan Contact City</v>
          </cell>
          <cell r="B2710" t="str">
            <v>RESTON</v>
          </cell>
        </row>
        <row r="2711">
          <cell r="A2711" t="str">
            <v>Loan Contact State Code</v>
          </cell>
          <cell r="B2711" t="str">
            <v>VA</v>
          </cell>
        </row>
        <row r="2712">
          <cell r="A2712" t="str">
            <v>Loan Contact Zip Code</v>
          </cell>
          <cell r="B2712">
            <v>201910000</v>
          </cell>
        </row>
        <row r="2713">
          <cell r="A2713" t="str">
            <v>Loan Contact Phone Number</v>
          </cell>
        </row>
        <row r="2714">
          <cell r="A2714" t="str">
            <v>Loan Contact Phone Extension</v>
          </cell>
        </row>
        <row r="2715">
          <cell r="A2715" t="str">
            <v>Loan Contact Email Address</v>
          </cell>
        </row>
        <row r="2716">
          <cell r="A2716" t="str">
            <v>Loan Contact Web Site Address</v>
          </cell>
        </row>
        <row r="2717">
          <cell r="A2717" t="str">
            <v>Loan Contact Type</v>
          </cell>
          <cell r="B2717" t="str">
            <v>Current Guaranty Agency</v>
          </cell>
        </row>
        <row r="2718">
          <cell r="A2718" t="str">
            <v>Loan Contact Name</v>
          </cell>
          <cell r="B2718" t="str">
            <v>LOUISIANA OFFICE OF STUDENT FIN. ASST.</v>
          </cell>
        </row>
        <row r="2719">
          <cell r="A2719" t="str">
            <v>Loan Contact Street Address 1</v>
          </cell>
          <cell r="B2719" t="str">
            <v>P.O. BOX 91202</v>
          </cell>
        </row>
        <row r="2720">
          <cell r="A2720" t="str">
            <v>Loan Contact Street Address 2</v>
          </cell>
        </row>
        <row r="2721">
          <cell r="A2721" t="str">
            <v>Loan Contact City</v>
          </cell>
          <cell r="B2721" t="str">
            <v>BATON ROUGE</v>
          </cell>
        </row>
        <row r="2722">
          <cell r="A2722" t="str">
            <v>Loan Contact State Code</v>
          </cell>
          <cell r="B2722" t="str">
            <v>LA</v>
          </cell>
        </row>
        <row r="2723">
          <cell r="A2723" t="str">
            <v>Loan Contact Zip Code</v>
          </cell>
          <cell r="B2723">
            <v>708219202</v>
          </cell>
        </row>
        <row r="2724">
          <cell r="A2724" t="str">
            <v>Loan Contact Phone Number</v>
          </cell>
        </row>
        <row r="2725">
          <cell r="A2725" t="str">
            <v>Loan Contact Phone Extension</v>
          </cell>
        </row>
        <row r="2726">
          <cell r="A2726" t="str">
            <v>Loan Contact Email Address</v>
          </cell>
        </row>
        <row r="2727">
          <cell r="A2727" t="str">
            <v>Loan Contact Web Site Address</v>
          </cell>
        </row>
        <row r="2728">
          <cell r="A2728" t="str">
            <v>Loan Type</v>
          </cell>
          <cell r="B2728" t="str">
            <v>STAFFORD SUBSIDIZED</v>
          </cell>
        </row>
        <row r="2729">
          <cell r="A2729" t="str">
            <v>Loan Award ID</v>
          </cell>
        </row>
        <row r="2730">
          <cell r="A2730" t="str">
            <v>Loan Attending School Name</v>
          </cell>
          <cell r="B2730" t="str">
            <v>UNIVERSITY OF NEW ORLEANS (THE)</v>
          </cell>
        </row>
        <row r="2731">
          <cell r="A2731" t="str">
            <v>Loan Attending School OPEID</v>
          </cell>
          <cell r="B2731">
            <v>201500</v>
          </cell>
        </row>
        <row r="2732">
          <cell r="A2732" t="str">
            <v>Loan Date</v>
          </cell>
          <cell r="B2732">
            <v>36012</v>
          </cell>
        </row>
        <row r="2733">
          <cell r="A2733" t="str">
            <v>Loan Repayment Begin Date</v>
          </cell>
          <cell r="B2733">
            <v>38522</v>
          </cell>
        </row>
        <row r="2734">
          <cell r="A2734" t="str">
            <v>Loan Period Begin Date</v>
          </cell>
          <cell r="B2734">
            <v>36027</v>
          </cell>
        </row>
        <row r="2735">
          <cell r="A2735" t="str">
            <v>Loan Period End Date</v>
          </cell>
          <cell r="B2735">
            <v>36294</v>
          </cell>
        </row>
        <row r="2736">
          <cell r="A2736" t="str">
            <v>Loan Amount</v>
          </cell>
          <cell r="B2736">
            <v>2625</v>
          </cell>
        </row>
        <row r="2737">
          <cell r="A2737" t="str">
            <v>Loan Disbursed Amount</v>
          </cell>
          <cell r="B2737">
            <v>2625</v>
          </cell>
        </row>
        <row r="2738">
          <cell r="A2738" t="str">
            <v>Loan Canceled Amount</v>
          </cell>
          <cell r="B2738">
            <v>0</v>
          </cell>
        </row>
        <row r="2739">
          <cell r="A2739" t="str">
            <v>Loan Canceled Date</v>
          </cell>
        </row>
        <row r="2740">
          <cell r="A2740" t="str">
            <v>Loan Outstanding Principal Balance</v>
          </cell>
          <cell r="B2740">
            <v>0</v>
          </cell>
        </row>
        <row r="2741">
          <cell r="A2741" t="str">
            <v>Loan Outstanding Principal Balance as of Date</v>
          </cell>
          <cell r="B2741">
            <v>38868</v>
          </cell>
        </row>
        <row r="2742">
          <cell r="A2742" t="str">
            <v>Loan Outstanding Interest Balance</v>
          </cell>
          <cell r="B2742">
            <v>0</v>
          </cell>
        </row>
        <row r="2743">
          <cell r="A2743" t="str">
            <v>Loan Outstanding Interest Balance as of Date</v>
          </cell>
          <cell r="B2743">
            <v>38868</v>
          </cell>
        </row>
        <row r="2744">
          <cell r="A2744" t="str">
            <v>Loan Interest Rate Type</v>
          </cell>
          <cell r="B2744" t="str">
            <v>VARIABLE</v>
          </cell>
        </row>
        <row r="2745">
          <cell r="A2745" t="str">
            <v>Loan Interest Rate</v>
          </cell>
        </row>
        <row r="2746">
          <cell r="A2746" t="str">
            <v>Loan Repayment Plan Begin Date</v>
          </cell>
        </row>
        <row r="2747">
          <cell r="A2747" t="str">
            <v>Loan Repayment Plan Scheduled Amount</v>
          </cell>
        </row>
        <row r="2748">
          <cell r="A2748" t="str">
            <v>Loan Confirmed Subsidy Status</v>
          </cell>
        </row>
        <row r="2749">
          <cell r="A2749" t="str">
            <v>Loan Subsidized Usage in Years</v>
          </cell>
        </row>
        <row r="2750">
          <cell r="A2750" t="str">
            <v>Loan Reaffirmation Date</v>
          </cell>
        </row>
        <row r="2751">
          <cell r="A2751" t="str">
            <v>Loan Status</v>
          </cell>
          <cell r="B2751" t="str">
            <v>PN</v>
          </cell>
        </row>
        <row r="2752">
          <cell r="A2752" t="str">
            <v>Loan Status Description</v>
          </cell>
          <cell r="B2752" t="str">
            <v>NON-DEFAULTED, PAID IN FULL THROUGH CONSOLIDATION LOAN</v>
          </cell>
        </row>
        <row r="2753">
          <cell r="A2753" t="str">
            <v>Loan Status Effective Date</v>
          </cell>
          <cell r="B2753">
            <v>38868</v>
          </cell>
        </row>
        <row r="2754">
          <cell r="A2754" t="str">
            <v>Loan Status</v>
          </cell>
          <cell r="B2754" t="str">
            <v>RP</v>
          </cell>
        </row>
        <row r="2755">
          <cell r="A2755" t="str">
            <v>Loan Status Description</v>
          </cell>
          <cell r="B2755" t="str">
            <v>IN REPAYMENT</v>
          </cell>
        </row>
        <row r="2756">
          <cell r="A2756" t="str">
            <v>Loan Status Effective Date</v>
          </cell>
          <cell r="B2756">
            <v>38683</v>
          </cell>
        </row>
        <row r="2757">
          <cell r="A2757" t="str">
            <v>Loan Status</v>
          </cell>
          <cell r="B2757" t="str">
            <v>FB</v>
          </cell>
        </row>
        <row r="2758">
          <cell r="A2758" t="str">
            <v>Loan Status Description</v>
          </cell>
          <cell r="B2758" t="str">
            <v>FORBEARANCE</v>
          </cell>
        </row>
        <row r="2759">
          <cell r="A2759" t="str">
            <v>Loan Status Effective Date</v>
          </cell>
          <cell r="B2759">
            <v>38593</v>
          </cell>
        </row>
        <row r="2760">
          <cell r="A2760" t="str">
            <v>Loan Status</v>
          </cell>
          <cell r="B2760" t="str">
            <v>RP</v>
          </cell>
        </row>
        <row r="2761">
          <cell r="A2761" t="str">
            <v>Loan Status Description</v>
          </cell>
          <cell r="B2761" t="str">
            <v>IN REPAYMENT</v>
          </cell>
        </row>
        <row r="2762">
          <cell r="A2762" t="str">
            <v>Loan Status Effective Date</v>
          </cell>
          <cell r="B2762">
            <v>38522</v>
          </cell>
        </row>
        <row r="2763">
          <cell r="A2763" t="str">
            <v>Loan Status</v>
          </cell>
          <cell r="B2763" t="str">
            <v>IA</v>
          </cell>
        </row>
        <row r="2764">
          <cell r="A2764" t="str">
            <v>Loan Status Description</v>
          </cell>
          <cell r="B2764" t="str">
            <v>LOAN ORIGINATED</v>
          </cell>
        </row>
        <row r="2765">
          <cell r="A2765" t="str">
            <v>Loan Status Effective Date</v>
          </cell>
          <cell r="B2765">
            <v>36012</v>
          </cell>
        </row>
        <row r="2766">
          <cell r="A2766" t="str">
            <v>Loan Disbursement Date</v>
          </cell>
          <cell r="B2766">
            <v>36143</v>
          </cell>
        </row>
        <row r="2767">
          <cell r="A2767" t="str">
            <v>Loan Disbursement Amount</v>
          </cell>
          <cell r="B2767">
            <v>1312</v>
          </cell>
        </row>
        <row r="2768">
          <cell r="A2768" t="str">
            <v>Loan Disbursement Date</v>
          </cell>
          <cell r="B2768">
            <v>36059</v>
          </cell>
        </row>
        <row r="2769">
          <cell r="A2769" t="str">
            <v>Loan Disbursement Amount</v>
          </cell>
          <cell r="B2769">
            <v>1313</v>
          </cell>
        </row>
        <row r="2770">
          <cell r="A2770" t="str">
            <v>Loan Contact Type</v>
          </cell>
          <cell r="B2770" t="str">
            <v>Current Servicer</v>
          </cell>
        </row>
        <row r="2771">
          <cell r="A2771" t="str">
            <v>Loan Contact Name</v>
          </cell>
          <cell r="B2771" t="str">
            <v>NAVIENT SOLUTIONS, INC.</v>
          </cell>
        </row>
        <row r="2772">
          <cell r="A2772" t="str">
            <v>Loan Contact Street Address 1</v>
          </cell>
          <cell r="B2772" t="str">
            <v>220 LASLEY AVE</v>
          </cell>
        </row>
        <row r="2773">
          <cell r="A2773" t="str">
            <v>Loan Contact Street Address 2</v>
          </cell>
        </row>
        <row r="2774">
          <cell r="A2774" t="str">
            <v>Loan Contact City</v>
          </cell>
          <cell r="B2774" t="str">
            <v>WILKES-BARRE</v>
          </cell>
        </row>
        <row r="2775">
          <cell r="A2775" t="str">
            <v>Loan Contact State Code</v>
          </cell>
          <cell r="B2775" t="str">
            <v>PA</v>
          </cell>
        </row>
        <row r="2776">
          <cell r="A2776" t="str">
            <v>Loan Contact Zip Code</v>
          </cell>
          <cell r="B2776">
            <v>18706</v>
          </cell>
        </row>
        <row r="2777">
          <cell r="A2777" t="str">
            <v>Loan Contact Phone Number</v>
          </cell>
          <cell r="B2777" t="str">
            <v>888-272-5543</v>
          </cell>
        </row>
        <row r="2778">
          <cell r="A2778" t="str">
            <v>Loan Contact Phone Extension</v>
          </cell>
        </row>
        <row r="2779">
          <cell r="A2779" t="str">
            <v>Loan Contact Email Address</v>
          </cell>
        </row>
        <row r="2780">
          <cell r="A2780" t="str">
            <v>Loan Contact Web Site Address</v>
          </cell>
        </row>
        <row r="2781">
          <cell r="A2781" t="str">
            <v>Loan Contact Type</v>
          </cell>
          <cell r="B2781" t="str">
            <v>Current Lender</v>
          </cell>
        </row>
        <row r="2782">
          <cell r="A2782" t="str">
            <v>Loan Contact Name</v>
          </cell>
          <cell r="B2782" t="str">
            <v>NAVIENT CREDIT FINANCE CORP.</v>
          </cell>
        </row>
        <row r="2783">
          <cell r="A2783" t="str">
            <v>Loan Contact Street Address 1</v>
          </cell>
          <cell r="B2783" t="str">
            <v>2001 EDMUND HALLEY DR.</v>
          </cell>
        </row>
        <row r="2784">
          <cell r="A2784" t="str">
            <v>Loan Contact Street Address 2</v>
          </cell>
        </row>
        <row r="2785">
          <cell r="A2785" t="str">
            <v>Loan Contact City</v>
          </cell>
          <cell r="B2785" t="str">
            <v>RESTON</v>
          </cell>
        </row>
        <row r="2786">
          <cell r="A2786" t="str">
            <v>Loan Contact State Code</v>
          </cell>
          <cell r="B2786" t="str">
            <v>VA</v>
          </cell>
        </row>
        <row r="2787">
          <cell r="A2787" t="str">
            <v>Loan Contact Zip Code</v>
          </cell>
          <cell r="B2787">
            <v>201910000</v>
          </cell>
        </row>
        <row r="2788">
          <cell r="A2788" t="str">
            <v>Loan Contact Phone Number</v>
          </cell>
        </row>
        <row r="2789">
          <cell r="A2789" t="str">
            <v>Loan Contact Phone Extension</v>
          </cell>
        </row>
        <row r="2790">
          <cell r="A2790" t="str">
            <v>Loan Contact Email Address</v>
          </cell>
        </row>
        <row r="2791">
          <cell r="A2791" t="str">
            <v>Loan Contact Web Site Address</v>
          </cell>
        </row>
        <row r="2792">
          <cell r="A2792" t="str">
            <v>Loan Contact Type</v>
          </cell>
          <cell r="B2792" t="str">
            <v>Current Guaranty Agency</v>
          </cell>
        </row>
        <row r="2793">
          <cell r="A2793" t="str">
            <v>Loan Contact Name</v>
          </cell>
          <cell r="B2793" t="str">
            <v>LOUISIANA OFFICE OF STUDENT FIN. ASST.</v>
          </cell>
        </row>
        <row r="2794">
          <cell r="A2794" t="str">
            <v>Loan Contact Street Address 1</v>
          </cell>
          <cell r="B2794" t="str">
            <v>P.O. BOX 91202</v>
          </cell>
        </row>
        <row r="2795">
          <cell r="A2795" t="str">
            <v>Loan Contact Street Address 2</v>
          </cell>
        </row>
        <row r="2796">
          <cell r="A2796" t="str">
            <v>Loan Contact City</v>
          </cell>
          <cell r="B2796" t="str">
            <v>BATON ROUGE</v>
          </cell>
        </row>
        <row r="2797">
          <cell r="A2797" t="str">
            <v>Loan Contact State Code</v>
          </cell>
          <cell r="B2797" t="str">
            <v>LA</v>
          </cell>
        </row>
        <row r="2798">
          <cell r="A2798" t="str">
            <v>Loan Contact Zip Code</v>
          </cell>
          <cell r="B2798">
            <v>708219202</v>
          </cell>
        </row>
        <row r="2799">
          <cell r="A2799" t="str">
            <v>Loan Contact Phone Number</v>
          </cell>
        </row>
        <row r="2800">
          <cell r="A2800" t="str">
            <v>Loan Contact Phone Extension</v>
          </cell>
        </row>
        <row r="2801">
          <cell r="A2801" t="str">
            <v>Loan Contact Email Address</v>
          </cell>
        </row>
        <row r="2802">
          <cell r="A2802" t="str">
            <v>Loan Contact Web Site Address</v>
          </cell>
        </row>
        <row r="2803">
          <cell r="A2803" t="str">
            <v>Grant Type</v>
          </cell>
          <cell r="B2803" t="str">
            <v>FEDERAL PELL GRANT</v>
          </cell>
        </row>
        <row r="2804">
          <cell r="A2804" t="str">
            <v>Grant Attending School Name</v>
          </cell>
          <cell r="B2804" t="str">
            <v>UNIVERSITY OF LOUISIANA AT MONROE</v>
          </cell>
        </row>
        <row r="2805">
          <cell r="A2805" t="str">
            <v>Grant Attending School OPEID</v>
          </cell>
          <cell r="B2805">
            <v>202000</v>
          </cell>
        </row>
        <row r="2806">
          <cell r="A2806" t="str">
            <v>Grant Award Year</v>
          </cell>
          <cell r="B2806" t="str">
            <v>2005 - 2006</v>
          </cell>
        </row>
        <row r="2807">
          <cell r="A2807" t="str">
            <v>Grant Scheduled Amount</v>
          </cell>
          <cell r="B2807">
            <v>3800</v>
          </cell>
        </row>
        <row r="2808">
          <cell r="A2808" t="str">
            <v>Grant Award Amount</v>
          </cell>
          <cell r="B2808">
            <v>1425</v>
          </cell>
        </row>
        <row r="2809">
          <cell r="A2809" t="str">
            <v>Grant Disbursed Amount</v>
          </cell>
          <cell r="B2809">
            <v>1425</v>
          </cell>
        </row>
        <row r="2810">
          <cell r="A2810" t="str">
            <v>Grant Remaining Amount to be Paid</v>
          </cell>
          <cell r="B2810">
            <v>475</v>
          </cell>
        </row>
        <row r="2811">
          <cell r="A2811" t="str">
            <v>Grant First Time</v>
          </cell>
          <cell r="B2811" t="str">
            <v>No</v>
          </cell>
        </row>
        <row r="2812">
          <cell r="A2812" t="str">
            <v>Grant Additional Eligibility</v>
          </cell>
          <cell r="B2812" t="str">
            <v>N/A</v>
          </cell>
        </row>
        <row r="2813">
          <cell r="A2813" t="str">
            <v>Grant Contact Type</v>
          </cell>
          <cell r="B2813" t="str">
            <v>Attending School</v>
          </cell>
        </row>
        <row r="2814">
          <cell r="A2814" t="str">
            <v>Grant Contact Name</v>
          </cell>
          <cell r="B2814" t="str">
            <v>UNIVERSITY OF LOUISIANA AT MONROE</v>
          </cell>
        </row>
        <row r="2815">
          <cell r="A2815" t="str">
            <v>Grant Contact Street Address 1</v>
          </cell>
          <cell r="B2815" t="str">
            <v>700 UNIVERSITY AVENUE</v>
          </cell>
        </row>
        <row r="2816">
          <cell r="A2816" t="str">
            <v>Grant Contact Street Address 2</v>
          </cell>
        </row>
        <row r="2817">
          <cell r="A2817" t="str">
            <v>Grant Contact City</v>
          </cell>
          <cell r="B2817" t="str">
            <v>MONROE</v>
          </cell>
        </row>
        <row r="2818">
          <cell r="A2818" t="str">
            <v>Grant Contact State Code</v>
          </cell>
          <cell r="B2818" t="str">
            <v>LA</v>
          </cell>
        </row>
        <row r="2819">
          <cell r="A2819" t="str">
            <v>Grant Contact Zip Code</v>
          </cell>
          <cell r="B2819">
            <v>712099001</v>
          </cell>
        </row>
        <row r="2820">
          <cell r="A2820" t="str">
            <v>Grant Type</v>
          </cell>
          <cell r="B2820" t="str">
            <v>FEDERAL PELL GRANT</v>
          </cell>
        </row>
        <row r="2821">
          <cell r="A2821" t="str">
            <v>Grant Attending School Name</v>
          </cell>
          <cell r="B2821" t="str">
            <v>UNIVERSITY OF NEW ORLEANS (THE)</v>
          </cell>
        </row>
        <row r="2822">
          <cell r="A2822" t="str">
            <v>Grant Attending School OPEID</v>
          </cell>
          <cell r="B2822">
            <v>201500</v>
          </cell>
        </row>
        <row r="2823">
          <cell r="A2823" t="str">
            <v>Grant Award Year</v>
          </cell>
          <cell r="B2823" t="str">
            <v>2005 - 2006</v>
          </cell>
        </row>
        <row r="2824">
          <cell r="A2824" t="str">
            <v>Grant Scheduled Amount</v>
          </cell>
          <cell r="B2824">
            <v>3800</v>
          </cell>
        </row>
        <row r="2825">
          <cell r="A2825" t="str">
            <v>Grant Award Amount</v>
          </cell>
          <cell r="B2825">
            <v>3800</v>
          </cell>
        </row>
        <row r="2826">
          <cell r="A2826" t="str">
            <v>Grant Disbursed Amount</v>
          </cell>
          <cell r="B2826">
            <v>1900</v>
          </cell>
        </row>
        <row r="2827">
          <cell r="A2827" t="str">
            <v>Grant Remaining Amount to be Paid</v>
          </cell>
          <cell r="B2827">
            <v>475</v>
          </cell>
        </row>
        <row r="2828">
          <cell r="A2828" t="str">
            <v>Grant First Time</v>
          </cell>
          <cell r="B2828" t="str">
            <v>No</v>
          </cell>
        </row>
        <row r="2829">
          <cell r="A2829" t="str">
            <v>Grant Additional Eligibility</v>
          </cell>
          <cell r="B2829" t="str">
            <v>N/A</v>
          </cell>
        </row>
        <row r="2830">
          <cell r="A2830" t="str">
            <v>Grant Contact Type</v>
          </cell>
          <cell r="B2830" t="str">
            <v>Attending School</v>
          </cell>
        </row>
        <row r="2831">
          <cell r="A2831" t="str">
            <v>Grant Contact Name</v>
          </cell>
          <cell r="B2831" t="str">
            <v>UNIVERSITY OF NEW ORLEANS (THE)</v>
          </cell>
        </row>
        <row r="2832">
          <cell r="A2832" t="str">
            <v>Grant Contact Street Address 1</v>
          </cell>
          <cell r="B2832" t="str">
            <v>2000 LAKESHORE DRIVE</v>
          </cell>
        </row>
        <row r="2833">
          <cell r="A2833" t="str">
            <v>Grant Contact Street Address 2</v>
          </cell>
        </row>
        <row r="2834">
          <cell r="A2834" t="str">
            <v>Grant Contact City</v>
          </cell>
          <cell r="B2834" t="str">
            <v>NEW ORLEANS</v>
          </cell>
        </row>
        <row r="2835">
          <cell r="A2835" t="str">
            <v>Grant Contact State Code</v>
          </cell>
          <cell r="B2835" t="str">
            <v>LA</v>
          </cell>
        </row>
        <row r="2836">
          <cell r="A2836" t="str">
            <v>Grant Contact Zip Code</v>
          </cell>
          <cell r="B2836">
            <v>701480001</v>
          </cell>
        </row>
        <row r="2837">
          <cell r="A2837" t="str">
            <v>Grant Type</v>
          </cell>
          <cell r="B2837" t="str">
            <v>FEDERAL PELL GRANT</v>
          </cell>
        </row>
        <row r="2838">
          <cell r="A2838" t="str">
            <v>Grant Attending School Name</v>
          </cell>
          <cell r="B2838" t="str">
            <v>UNIVERSITY OF NEW ORLEANS (THE)</v>
          </cell>
        </row>
        <row r="2839">
          <cell r="A2839" t="str">
            <v>Grant Attending School OPEID</v>
          </cell>
          <cell r="B2839">
            <v>201500</v>
          </cell>
        </row>
        <row r="2840">
          <cell r="A2840" t="str">
            <v>Grant Award Year</v>
          </cell>
          <cell r="B2840" t="str">
            <v>2004 - 2005</v>
          </cell>
        </row>
        <row r="2841">
          <cell r="A2841" t="str">
            <v>Grant Scheduled Amount</v>
          </cell>
          <cell r="B2841">
            <v>1100</v>
          </cell>
        </row>
        <row r="2842">
          <cell r="A2842" t="str">
            <v>Grant Award Amount</v>
          </cell>
          <cell r="B2842">
            <v>1100</v>
          </cell>
        </row>
        <row r="2843">
          <cell r="A2843" t="str">
            <v>Grant Disbursed Amount</v>
          </cell>
          <cell r="B2843">
            <v>1025</v>
          </cell>
        </row>
        <row r="2844">
          <cell r="A2844" t="str">
            <v>Grant Remaining Amount to be Paid</v>
          </cell>
          <cell r="B2844">
            <v>75</v>
          </cell>
        </row>
        <row r="2845">
          <cell r="A2845" t="str">
            <v>Grant First Time</v>
          </cell>
          <cell r="B2845" t="str">
            <v>No</v>
          </cell>
        </row>
        <row r="2846">
          <cell r="A2846" t="str">
            <v>Grant Additional Eligibility</v>
          </cell>
          <cell r="B2846" t="str">
            <v>N/A</v>
          </cell>
        </row>
        <row r="2847">
          <cell r="A2847" t="str">
            <v>Grant Contact Type</v>
          </cell>
          <cell r="B2847" t="str">
            <v>Attending School</v>
          </cell>
        </row>
        <row r="2848">
          <cell r="A2848" t="str">
            <v>Grant Contact Name</v>
          </cell>
          <cell r="B2848" t="str">
            <v>UNIVERSITY OF NEW ORLEANS (THE)</v>
          </cell>
        </row>
        <row r="2849">
          <cell r="A2849" t="str">
            <v>Grant Contact Street Address 1</v>
          </cell>
          <cell r="B2849" t="str">
            <v>2000 LAKESHORE DRIVE</v>
          </cell>
        </row>
        <row r="2850">
          <cell r="A2850" t="str">
            <v>Grant Contact Street Address 2</v>
          </cell>
        </row>
        <row r="2851">
          <cell r="A2851" t="str">
            <v>Grant Contact City</v>
          </cell>
          <cell r="B2851" t="str">
            <v>NEW ORLEANS</v>
          </cell>
        </row>
        <row r="2852">
          <cell r="A2852" t="str">
            <v>Grant Contact State Code</v>
          </cell>
          <cell r="B2852" t="str">
            <v>LA</v>
          </cell>
        </row>
        <row r="2853">
          <cell r="A2853" t="str">
            <v>Grant Contact Zip Code</v>
          </cell>
          <cell r="B2853">
            <v>701480001</v>
          </cell>
        </row>
        <row r="2854">
          <cell r="A2854" t="str">
            <v>Grant Type</v>
          </cell>
          <cell r="B2854" t="str">
            <v>FEDERAL PELL GRANT</v>
          </cell>
        </row>
        <row r="2855">
          <cell r="A2855" t="str">
            <v>Grant Attending School Name</v>
          </cell>
          <cell r="B2855" t="str">
            <v>UNIVERSITY OF NEW ORLEANS (THE)</v>
          </cell>
        </row>
        <row r="2856">
          <cell r="A2856" t="str">
            <v>Grant Attending School OPEID</v>
          </cell>
          <cell r="B2856">
            <v>201500</v>
          </cell>
        </row>
        <row r="2857">
          <cell r="A2857" t="str">
            <v>Grant Award Year</v>
          </cell>
          <cell r="B2857" t="str">
            <v>2003 - 2004</v>
          </cell>
        </row>
        <row r="2858">
          <cell r="A2858" t="str">
            <v>Grant Scheduled Amount</v>
          </cell>
          <cell r="B2858">
            <v>2400</v>
          </cell>
        </row>
        <row r="2859">
          <cell r="A2859" t="str">
            <v>Grant Award Amount</v>
          </cell>
          <cell r="B2859">
            <v>2400</v>
          </cell>
        </row>
        <row r="2860">
          <cell r="A2860" t="str">
            <v>Grant Disbursed Amount</v>
          </cell>
          <cell r="B2860">
            <v>1800</v>
          </cell>
        </row>
        <row r="2861">
          <cell r="A2861" t="str">
            <v>Grant Remaining Amount to be Paid</v>
          </cell>
          <cell r="B2861">
            <v>600</v>
          </cell>
        </row>
        <row r="2862">
          <cell r="A2862" t="str">
            <v>Grant First Time</v>
          </cell>
          <cell r="B2862" t="str">
            <v>No</v>
          </cell>
        </row>
        <row r="2863">
          <cell r="A2863" t="str">
            <v>Grant Additional Eligibility</v>
          </cell>
          <cell r="B2863" t="str">
            <v>N/A</v>
          </cell>
        </row>
        <row r="2864">
          <cell r="A2864" t="str">
            <v>Grant Contact Type</v>
          </cell>
          <cell r="B2864" t="str">
            <v>Attending School</v>
          </cell>
        </row>
        <row r="2865">
          <cell r="A2865" t="str">
            <v>Grant Contact Name</v>
          </cell>
          <cell r="B2865" t="str">
            <v>UNIVERSITY OF NEW ORLEANS (THE)</v>
          </cell>
        </row>
        <row r="2866">
          <cell r="A2866" t="str">
            <v>Grant Contact Street Address 1</v>
          </cell>
          <cell r="B2866" t="str">
            <v>2000 LAKESHORE DRIVE</v>
          </cell>
        </row>
        <row r="2867">
          <cell r="A2867" t="str">
            <v>Grant Contact Street Address 2</v>
          </cell>
        </row>
        <row r="2868">
          <cell r="A2868" t="str">
            <v>Grant Contact City</v>
          </cell>
          <cell r="B2868" t="str">
            <v>NEW ORLEANS</v>
          </cell>
        </row>
        <row r="2869">
          <cell r="A2869" t="str">
            <v>Grant Contact State Code</v>
          </cell>
          <cell r="B2869" t="str">
            <v>LA</v>
          </cell>
        </row>
        <row r="2870">
          <cell r="A2870" t="str">
            <v>Grant Contact Zip Code</v>
          </cell>
          <cell r="B2870">
            <v>701480001</v>
          </cell>
        </row>
        <row r="2871">
          <cell r="A2871" t="str">
            <v>Grant Type</v>
          </cell>
          <cell r="B2871" t="str">
            <v>FEDERAL PELL GRANT</v>
          </cell>
        </row>
        <row r="2872">
          <cell r="A2872" t="str">
            <v>Grant Attending School Name</v>
          </cell>
          <cell r="B2872" t="str">
            <v>UNIVERSITY OF NEW ORLEANS (THE)</v>
          </cell>
        </row>
        <row r="2873">
          <cell r="A2873" t="str">
            <v>Grant Attending School OPEID</v>
          </cell>
          <cell r="B2873">
            <v>201500</v>
          </cell>
        </row>
        <row r="2874">
          <cell r="A2874" t="str">
            <v>Grant Award Year</v>
          </cell>
          <cell r="B2874" t="str">
            <v>2001 - 2002</v>
          </cell>
        </row>
        <row r="2875">
          <cell r="A2875" t="str">
            <v>Grant Scheduled Amount</v>
          </cell>
          <cell r="B2875">
            <v>1800</v>
          </cell>
        </row>
        <row r="2876">
          <cell r="A2876" t="str">
            <v>Grant Award Amount</v>
          </cell>
          <cell r="B2876">
            <v>1800</v>
          </cell>
        </row>
        <row r="2877">
          <cell r="A2877" t="str">
            <v>Grant Disbursed Amount</v>
          </cell>
          <cell r="B2877">
            <v>1800</v>
          </cell>
        </row>
        <row r="2878">
          <cell r="A2878" t="str">
            <v>Grant Remaining Amount to be Paid</v>
          </cell>
          <cell r="B2878">
            <v>0</v>
          </cell>
        </row>
        <row r="2879">
          <cell r="A2879" t="str">
            <v>Grant First Time</v>
          </cell>
          <cell r="B2879" t="str">
            <v>No</v>
          </cell>
        </row>
        <row r="2880">
          <cell r="A2880" t="str">
            <v>Grant Additional Eligibility</v>
          </cell>
          <cell r="B2880" t="str">
            <v>N/A</v>
          </cell>
        </row>
        <row r="2881">
          <cell r="A2881" t="str">
            <v>Grant Contact Type</v>
          </cell>
          <cell r="B2881" t="str">
            <v>Attending School</v>
          </cell>
        </row>
        <row r="2882">
          <cell r="A2882" t="str">
            <v>Grant Contact Name</v>
          </cell>
          <cell r="B2882" t="str">
            <v>UNIVERSITY OF NEW ORLEANS (THE)</v>
          </cell>
        </row>
        <row r="2883">
          <cell r="A2883" t="str">
            <v>Grant Contact Street Address 1</v>
          </cell>
          <cell r="B2883" t="str">
            <v>2000 LAKESHORE DRIVE</v>
          </cell>
        </row>
        <row r="2884">
          <cell r="A2884" t="str">
            <v>Grant Contact Street Address 2</v>
          </cell>
        </row>
        <row r="2885">
          <cell r="A2885" t="str">
            <v>Grant Contact City</v>
          </cell>
          <cell r="B2885" t="str">
            <v>NEW ORLEANS</v>
          </cell>
        </row>
        <row r="2886">
          <cell r="A2886" t="str">
            <v>Grant Contact State Code</v>
          </cell>
          <cell r="B2886" t="str">
            <v>LA</v>
          </cell>
        </row>
        <row r="2887">
          <cell r="A2887" t="str">
            <v>Grant Contact Zip Code</v>
          </cell>
          <cell r="B2887">
            <v>701480001</v>
          </cell>
        </row>
        <row r="2888">
          <cell r="A2888" t="str">
            <v>Grant Type</v>
          </cell>
          <cell r="B2888" t="str">
            <v>FEDERAL PELL GRANT</v>
          </cell>
        </row>
        <row r="2889">
          <cell r="A2889" t="str">
            <v>Grant Attending School Name</v>
          </cell>
          <cell r="B2889" t="str">
            <v>UNIVERSITY OF NEW ORLEANS (THE)</v>
          </cell>
        </row>
        <row r="2890">
          <cell r="A2890" t="str">
            <v>Grant Attending School OPEID</v>
          </cell>
          <cell r="B2890">
            <v>201500</v>
          </cell>
        </row>
        <row r="2891">
          <cell r="A2891" t="str">
            <v>Grant Award Year</v>
          </cell>
          <cell r="B2891" t="str">
            <v>1999 - 2000</v>
          </cell>
        </row>
        <row r="2892">
          <cell r="A2892" t="str">
            <v>Grant Scheduled Amount</v>
          </cell>
          <cell r="B2892">
            <v>475</v>
          </cell>
        </row>
        <row r="2893">
          <cell r="A2893" t="str">
            <v>Grant Award Amount</v>
          </cell>
          <cell r="B2893">
            <v>475</v>
          </cell>
        </row>
        <row r="2894">
          <cell r="A2894" t="str">
            <v>Grant Disbursed Amount</v>
          </cell>
          <cell r="B2894">
            <v>438</v>
          </cell>
        </row>
        <row r="2895">
          <cell r="A2895" t="str">
            <v>Grant Remaining Amount to be Paid</v>
          </cell>
          <cell r="B2895">
            <v>37</v>
          </cell>
        </row>
        <row r="2896">
          <cell r="A2896" t="str">
            <v>Grant First Time</v>
          </cell>
          <cell r="B2896" t="str">
            <v>No</v>
          </cell>
        </row>
        <row r="2897">
          <cell r="A2897" t="str">
            <v>Grant Additional Eligibility</v>
          </cell>
          <cell r="B2897" t="str">
            <v>N/A</v>
          </cell>
        </row>
        <row r="2898">
          <cell r="A2898" t="str">
            <v>Grant Contact Type</v>
          </cell>
          <cell r="B2898" t="str">
            <v>Attending School</v>
          </cell>
        </row>
        <row r="2899">
          <cell r="A2899" t="str">
            <v>Grant Contact Name</v>
          </cell>
          <cell r="B2899" t="str">
            <v>UNIVERSITY OF NEW ORLEANS (THE)</v>
          </cell>
        </row>
        <row r="2900">
          <cell r="A2900" t="str">
            <v>Grant Contact Street Address 1</v>
          </cell>
          <cell r="B2900" t="str">
            <v>2000 LAKESHORE DRIVE</v>
          </cell>
        </row>
        <row r="2901">
          <cell r="A2901" t="str">
            <v>Grant Contact Street Address 2</v>
          </cell>
        </row>
        <row r="2902">
          <cell r="A2902" t="str">
            <v>Grant Contact City</v>
          </cell>
          <cell r="B2902" t="str">
            <v>NEW ORLEANS</v>
          </cell>
        </row>
        <row r="2903">
          <cell r="A2903" t="str">
            <v>Grant Contact State Code</v>
          </cell>
          <cell r="B2903" t="str">
            <v>LA</v>
          </cell>
        </row>
        <row r="2904">
          <cell r="A2904" t="str">
            <v>Grant Contact Zip Code</v>
          </cell>
          <cell r="B2904">
            <v>701480001</v>
          </cell>
        </row>
        <row r="2905">
          <cell r="A2905" t="str">
            <v>Grant Type</v>
          </cell>
          <cell r="B2905" t="str">
            <v>FEDERAL PELL GRANT</v>
          </cell>
        </row>
        <row r="2906">
          <cell r="A2906" t="str">
            <v>Grant Attending School Name</v>
          </cell>
          <cell r="B2906" t="str">
            <v>UNIVERSITY OF NEW ORLEANS (THE)</v>
          </cell>
        </row>
        <row r="2907">
          <cell r="A2907" t="str">
            <v>Grant Attending School OPEID</v>
          </cell>
          <cell r="B2907">
            <v>201500</v>
          </cell>
        </row>
        <row r="2908">
          <cell r="A2908" t="str">
            <v>Grant Award Year</v>
          </cell>
          <cell r="B2908" t="str">
            <v>1998 - 1999</v>
          </cell>
        </row>
        <row r="2909">
          <cell r="A2909" t="str">
            <v>Grant Scheduled Amount</v>
          </cell>
          <cell r="B2909">
            <v>1350</v>
          </cell>
        </row>
        <row r="2910">
          <cell r="A2910" t="str">
            <v>Grant Award Amount</v>
          </cell>
          <cell r="B2910">
            <v>0</v>
          </cell>
        </row>
        <row r="2911">
          <cell r="A2911" t="str">
            <v>Grant Disbursed Amount</v>
          </cell>
          <cell r="B2911">
            <v>1350</v>
          </cell>
        </row>
        <row r="2912">
          <cell r="A2912" t="str">
            <v>Grant Remaining Amount to be Paid</v>
          </cell>
          <cell r="B2912">
            <v>0</v>
          </cell>
        </row>
        <row r="2913">
          <cell r="A2913" t="str">
            <v>Grant First Time</v>
          </cell>
          <cell r="B2913" t="str">
            <v>No</v>
          </cell>
        </row>
        <row r="2914">
          <cell r="A2914" t="str">
            <v>Grant Additional Eligibility</v>
          </cell>
          <cell r="B2914" t="str">
            <v>N/A</v>
          </cell>
        </row>
        <row r="2915">
          <cell r="A2915" t="str">
            <v>Grant Contact Type</v>
          </cell>
          <cell r="B2915" t="str">
            <v>Attending School</v>
          </cell>
        </row>
        <row r="2916">
          <cell r="A2916" t="str">
            <v>Grant Contact Name</v>
          </cell>
          <cell r="B2916" t="str">
            <v>UNIVERSITY OF NEW ORLEANS (THE)</v>
          </cell>
        </row>
        <row r="2917">
          <cell r="A2917" t="str">
            <v>Grant Contact Street Address 1</v>
          </cell>
          <cell r="B2917" t="str">
            <v>2000 LAKESHORE DRIVE</v>
          </cell>
        </row>
        <row r="2918">
          <cell r="A2918" t="str">
            <v>Grant Contact Street Address 2</v>
          </cell>
        </row>
        <row r="2919">
          <cell r="A2919" t="str">
            <v>Grant Contact City</v>
          </cell>
          <cell r="B2919" t="str">
            <v>NEW ORLEANS</v>
          </cell>
        </row>
        <row r="2920">
          <cell r="A2920" t="str">
            <v>Grant Contact State Code</v>
          </cell>
          <cell r="B2920" t="str">
            <v>LA</v>
          </cell>
        </row>
        <row r="2921">
          <cell r="A2921" t="str">
            <v>Grant Contact Zip Code</v>
          </cell>
          <cell r="B2921">
            <v>701480001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tabSelected="1" topLeftCell="A7" zoomScaleNormal="100" workbookViewId="0">
      <selection activeCell="J11" sqref="J11"/>
    </sheetView>
  </sheetViews>
  <sheetFormatPr defaultRowHeight="14.5" x14ac:dyDescent="0.35"/>
  <cols>
    <col min="2" max="3" width="12.08984375" bestFit="1" customWidth="1"/>
    <col min="4" max="4" width="9.81640625" bestFit="1" customWidth="1"/>
    <col min="5" max="5" width="10.81640625" bestFit="1" customWidth="1"/>
    <col min="8" max="8" width="11.453125" customWidth="1"/>
    <col min="9" max="9" width="12.54296875" customWidth="1"/>
  </cols>
  <sheetData>
    <row r="1" spans="1:11" x14ac:dyDescent="0.35">
      <c r="A1" s="63" t="s">
        <v>64</v>
      </c>
    </row>
    <row r="2" spans="1:11" x14ac:dyDescent="0.35">
      <c r="A2" s="62" t="s">
        <v>130</v>
      </c>
    </row>
    <row r="3" spans="1:11" x14ac:dyDescent="0.35">
      <c r="A3" s="62" t="s">
        <v>134</v>
      </c>
    </row>
    <row r="4" spans="1:11" x14ac:dyDescent="0.35">
      <c r="A4" s="62" t="s">
        <v>135</v>
      </c>
    </row>
    <row r="5" spans="1:11" x14ac:dyDescent="0.35">
      <c r="A5" s="62" t="s">
        <v>136</v>
      </c>
    </row>
    <row r="6" spans="1:11" x14ac:dyDescent="0.35">
      <c r="A6" s="62" t="s">
        <v>137</v>
      </c>
    </row>
    <row r="8" spans="1:11" x14ac:dyDescent="0.35">
      <c r="A8" s="62" t="s">
        <v>131</v>
      </c>
    </row>
    <row r="9" spans="1:11" ht="15" thickBot="1" x14ac:dyDescent="0.4">
      <c r="A9" s="62"/>
    </row>
    <row r="10" spans="1:11" x14ac:dyDescent="0.35">
      <c r="A10" s="202"/>
      <c r="B10" s="203" t="s">
        <v>147</v>
      </c>
      <c r="C10" s="204"/>
      <c r="D10" s="204"/>
      <c r="E10" s="205"/>
      <c r="G10" s="206"/>
      <c r="H10" s="207" t="s">
        <v>148</v>
      </c>
      <c r="I10" s="208"/>
      <c r="J10" s="208"/>
      <c r="K10" s="209"/>
    </row>
    <row r="11" spans="1:11" s="269" customFormat="1" ht="29" x14ac:dyDescent="0.35">
      <c r="A11" s="271" t="s">
        <v>138</v>
      </c>
      <c r="B11" s="267" t="s">
        <v>141</v>
      </c>
      <c r="C11" s="267"/>
      <c r="D11" s="267" t="s">
        <v>142</v>
      </c>
      <c r="E11" s="268" t="s">
        <v>143</v>
      </c>
      <c r="G11" s="272" t="s">
        <v>138</v>
      </c>
      <c r="H11" s="270" t="s">
        <v>141</v>
      </c>
      <c r="I11" s="270"/>
      <c r="J11" s="267" t="s">
        <v>142</v>
      </c>
      <c r="K11" s="268" t="s">
        <v>143</v>
      </c>
    </row>
    <row r="12" spans="1:11" x14ac:dyDescent="0.35">
      <c r="A12" s="183">
        <v>2014</v>
      </c>
      <c r="B12" s="184">
        <v>53000</v>
      </c>
      <c r="C12" s="184"/>
      <c r="D12" s="184"/>
      <c r="E12" s="185">
        <f>B12</f>
        <v>53000</v>
      </c>
      <c r="G12" s="210">
        <v>2014</v>
      </c>
      <c r="H12" s="211">
        <v>53000</v>
      </c>
      <c r="I12" s="211"/>
      <c r="J12" s="211"/>
      <c r="K12" s="212">
        <f>H12</f>
        <v>53000</v>
      </c>
    </row>
    <row r="13" spans="1:11" x14ac:dyDescent="0.35">
      <c r="A13" s="183">
        <v>2015</v>
      </c>
      <c r="B13" s="184">
        <f>B12*1.02</f>
        <v>54060</v>
      </c>
      <c r="C13" s="184"/>
      <c r="D13" s="184">
        <v>26000</v>
      </c>
      <c r="E13" s="185">
        <f>B13+D13</f>
        <v>80060</v>
      </c>
      <c r="G13" s="210">
        <v>2015</v>
      </c>
      <c r="H13" s="211">
        <f>H12*1.02</f>
        <v>54060</v>
      </c>
      <c r="I13" s="211"/>
      <c r="J13" s="211">
        <v>26000</v>
      </c>
      <c r="K13" s="212">
        <f>H13+J13</f>
        <v>80060</v>
      </c>
    </row>
    <row r="14" spans="1:11" x14ac:dyDescent="0.35">
      <c r="A14" s="183">
        <v>2016</v>
      </c>
      <c r="B14" s="184">
        <f>B13*1.02</f>
        <v>55141.200000000004</v>
      </c>
      <c r="C14" s="184"/>
      <c r="D14" s="184">
        <v>50000</v>
      </c>
      <c r="E14" s="185">
        <f>B14+D14</f>
        <v>105141.20000000001</v>
      </c>
      <c r="G14" s="210">
        <v>2016</v>
      </c>
      <c r="H14" s="211">
        <f>H13*1.02</f>
        <v>55141.200000000004</v>
      </c>
      <c r="I14" s="211"/>
      <c r="J14" s="211">
        <v>50000</v>
      </c>
      <c r="K14" s="212">
        <f>H14+J14</f>
        <v>105141.20000000001</v>
      </c>
    </row>
    <row r="15" spans="1:11" ht="29" x14ac:dyDescent="0.35">
      <c r="A15" s="183"/>
      <c r="B15" s="184" t="s">
        <v>139</v>
      </c>
      <c r="C15" s="184" t="s">
        <v>140</v>
      </c>
      <c r="D15" s="184"/>
      <c r="E15" s="185"/>
      <c r="G15" s="210"/>
      <c r="H15" s="211" t="s">
        <v>139</v>
      </c>
      <c r="I15" s="211" t="s">
        <v>140</v>
      </c>
      <c r="J15" s="211"/>
      <c r="K15" s="212"/>
    </row>
    <row r="16" spans="1:11" x14ac:dyDescent="0.35">
      <c r="A16" s="183">
        <v>2017</v>
      </c>
      <c r="B16" s="184">
        <f>(B14*1.02)/2</f>
        <v>28122.012000000002</v>
      </c>
      <c r="C16" s="184">
        <v>150000</v>
      </c>
      <c r="D16" s="184"/>
      <c r="E16" s="185">
        <f>B16+C16</f>
        <v>178122.01199999999</v>
      </c>
      <c r="G16" s="210">
        <v>2017</v>
      </c>
      <c r="H16" s="211">
        <f>(H14*1.02)/2</f>
        <v>28122.012000000002</v>
      </c>
      <c r="I16" s="211">
        <v>175000</v>
      </c>
      <c r="J16" s="211"/>
      <c r="K16" s="212">
        <f>H16+I16</f>
        <v>203122.01199999999</v>
      </c>
    </row>
    <row r="17" spans="1:11" x14ac:dyDescent="0.35">
      <c r="A17" s="183">
        <v>2018</v>
      </c>
      <c r="B17" s="197">
        <v>300000</v>
      </c>
      <c r="C17" s="198"/>
      <c r="D17" s="186"/>
      <c r="E17" s="185">
        <f>B17</f>
        <v>300000</v>
      </c>
      <c r="G17" s="210">
        <v>2018</v>
      </c>
      <c r="H17" s="213">
        <v>350000</v>
      </c>
      <c r="I17" s="214"/>
      <c r="J17" s="215"/>
      <c r="K17" s="212">
        <f>H17</f>
        <v>350000</v>
      </c>
    </row>
    <row r="18" spans="1:11" ht="29.5" thickBot="1" x14ac:dyDescent="0.4">
      <c r="A18" s="199" t="s">
        <v>145</v>
      </c>
      <c r="B18" s="220" t="s">
        <v>144</v>
      </c>
      <c r="C18" s="200"/>
      <c r="D18" s="200"/>
      <c r="E18" s="201"/>
      <c r="G18" s="216">
        <v>2019</v>
      </c>
      <c r="H18" s="217" t="s">
        <v>144</v>
      </c>
      <c r="I18" s="217"/>
      <c r="J18" s="217"/>
      <c r="K18" s="218" t="str">
        <f>H18</f>
        <v>add 3% annually</v>
      </c>
    </row>
    <row r="19" spans="1:11" ht="29" x14ac:dyDescent="0.35">
      <c r="G19" s="216">
        <v>2020</v>
      </c>
      <c r="H19" s="217" t="s">
        <v>144</v>
      </c>
      <c r="I19" s="217"/>
      <c r="J19" s="217"/>
      <c r="K19" s="218" t="str">
        <f>H19</f>
        <v>add 3% annually</v>
      </c>
    </row>
    <row r="20" spans="1:11" x14ac:dyDescent="0.35">
      <c r="G20" s="216">
        <v>2021</v>
      </c>
      <c r="H20" s="211">
        <v>600000</v>
      </c>
      <c r="I20" s="217"/>
      <c r="J20" s="217"/>
      <c r="K20" s="218">
        <f>H20</f>
        <v>600000</v>
      </c>
    </row>
    <row r="21" spans="1:11" ht="29.5" thickBot="1" x14ac:dyDescent="0.4">
      <c r="G21" s="219" t="s">
        <v>146</v>
      </c>
      <c r="H21" s="220" t="s">
        <v>144</v>
      </c>
      <c r="I21" s="220"/>
      <c r="J21" s="220"/>
      <c r="K21" s="221"/>
    </row>
  </sheetData>
  <sheetProtection algorithmName="SHA-512" hashValue="exJtfKM4sR2w4KqQutpZrW/IABJItwYJrtyfciCkfQdmL4ohreOmqPLiqdZ4xDnWfk7f1k4WpNHoGjQNEMRU+w==" saltValue="l2i+eNpjfQBDsAd/wQtdww==" spinCount="100000" sheet="1" objects="1" scenarios="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zoomScale="85" zoomScaleNormal="85" workbookViewId="0">
      <selection sqref="A1:A1048576"/>
    </sheetView>
  </sheetViews>
  <sheetFormatPr defaultRowHeight="14.5" x14ac:dyDescent="0.35"/>
  <cols>
    <col min="1" max="1" width="27" bestFit="1" customWidth="1"/>
    <col min="2" max="2" width="11" style="134" bestFit="1" customWidth="1"/>
    <col min="3" max="3" width="7.90625" style="141" bestFit="1" customWidth="1"/>
    <col min="4" max="4" width="8.36328125" style="141" bestFit="1" customWidth="1"/>
    <col min="5" max="5" width="7.90625" style="141" bestFit="1" customWidth="1"/>
    <col min="6" max="6" width="9" style="141" bestFit="1" customWidth="1"/>
    <col min="7" max="7" width="7.81640625" style="135" bestFit="1" customWidth="1"/>
    <col min="8" max="8" width="12.6328125" style="231" bestFit="1" customWidth="1"/>
    <col min="9" max="9" width="9.08984375" bestFit="1" customWidth="1"/>
    <col min="10" max="10" width="57.08984375" bestFit="1" customWidth="1"/>
    <col min="11" max="11" width="10" style="134" bestFit="1" customWidth="1"/>
    <col min="12" max="12" width="5.90625" bestFit="1" customWidth="1"/>
    <col min="13" max="13" width="8.453125" bestFit="1" customWidth="1"/>
  </cols>
  <sheetData>
    <row r="1" spans="1:13" x14ac:dyDescent="0.35">
      <c r="A1" s="136" t="s">
        <v>111</v>
      </c>
      <c r="B1" s="137" t="s">
        <v>112</v>
      </c>
      <c r="C1" s="138" t="s">
        <v>113</v>
      </c>
      <c r="D1" s="138" t="s">
        <v>114</v>
      </c>
      <c r="E1" s="138" t="s">
        <v>115</v>
      </c>
      <c r="F1" s="138" t="s">
        <v>3</v>
      </c>
      <c r="G1" s="139" t="s">
        <v>116</v>
      </c>
      <c r="H1" s="230" t="s">
        <v>117</v>
      </c>
      <c r="I1" s="136"/>
      <c r="J1" s="136" t="s">
        <v>118</v>
      </c>
      <c r="K1" s="137" t="s">
        <v>119</v>
      </c>
      <c r="L1" s="136"/>
      <c r="M1" s="136"/>
    </row>
    <row r="2" spans="1:13" x14ac:dyDescent="0.35">
      <c r="A2" s="136" t="s">
        <v>120</v>
      </c>
      <c r="B2" s="137" t="s">
        <v>120</v>
      </c>
      <c r="C2" s="138" t="s">
        <v>121</v>
      </c>
      <c r="D2" s="138" t="s">
        <v>122</v>
      </c>
      <c r="E2" s="138" t="s">
        <v>123</v>
      </c>
      <c r="F2" s="138" t="s">
        <v>122</v>
      </c>
      <c r="G2" s="139" t="s">
        <v>115</v>
      </c>
      <c r="H2" s="230"/>
      <c r="I2" s="136" t="s">
        <v>124</v>
      </c>
      <c r="J2" s="136" t="s">
        <v>120</v>
      </c>
      <c r="K2" s="137" t="s">
        <v>125</v>
      </c>
      <c r="L2" s="136" t="s">
        <v>126</v>
      </c>
      <c r="M2" s="136" t="s">
        <v>127</v>
      </c>
    </row>
    <row r="3" spans="1:13" x14ac:dyDescent="0.35">
      <c r="A3" s="227" t="str">
        <f>VLOOKUP("Loan Type",[1]Data!A1556:B3000,2,0)</f>
        <v>FFEL PLUS GRADUATE</v>
      </c>
      <c r="B3" s="134">
        <f>VLOOKUP("Loan Date",[1]Data!A1556:B3000,2,0)</f>
        <v>39175</v>
      </c>
      <c r="C3" s="141">
        <f>VLOOKUP("Loan Amount",[1]Data!A1556:B3000,2,0)</f>
        <v>33500</v>
      </c>
      <c r="D3" s="141">
        <f>VLOOKUP("Loan Outstanding Principal Balance",[1]Data!A1556:B3000,2,0)</f>
        <v>58352</v>
      </c>
      <c r="E3" s="141">
        <f>VLOOKUP("Loan Outstanding Interest Balance",[1]Data!A1556:B3000,2,0)</f>
        <v>6432</v>
      </c>
      <c r="F3" s="141">
        <f t="shared" ref="F3:F11" si="0">D3+E3</f>
        <v>64784</v>
      </c>
      <c r="G3" s="142">
        <f>VLOOKUP("Loan Interest Rate",[1]Data!A1556:B3000,2,0)</f>
        <v>8.5000000000000006E-2</v>
      </c>
      <c r="H3" s="231">
        <f>F3*G3</f>
        <v>5506.64</v>
      </c>
      <c r="I3" t="str">
        <f>VLOOKUP("Loan Interest Rate Type",[1]Data!A1556:B3000,2,0)</f>
        <v>FIXED</v>
      </c>
      <c r="J3" t="str">
        <f>VLOOKUP("Loan Status Description",[1]Data!A1556:B3000,2,0)</f>
        <v>DEFERRED</v>
      </c>
      <c r="K3" s="134">
        <f>VLOOKUP("Loan Status Effective Date",[1]Data!A447:B3000,2,0)</f>
        <v>41821</v>
      </c>
    </row>
    <row r="4" spans="1:13" x14ac:dyDescent="0.35">
      <c r="A4" s="227" t="str">
        <f>VLOOKUP("Loan Type",[1]Data!A925:B3000,2,0)</f>
        <v>FFEL PLUS GRADUATE</v>
      </c>
      <c r="B4" s="134">
        <f>VLOOKUP("Loan Date",[1]Data!A925:B3000,2,0)</f>
        <v>39924</v>
      </c>
      <c r="C4" s="141">
        <f>VLOOKUP("Loan Amount",[1]Data!A925:B3000,2,0)</f>
        <v>41150</v>
      </c>
      <c r="D4" s="141">
        <f>VLOOKUP("Loan Outstanding Principal Balance",[1]Data!A925:B3000,2,0)</f>
        <v>41150</v>
      </c>
      <c r="E4" s="141">
        <f>VLOOKUP("Loan Outstanding Interest Balance",[1]Data!A925:B3000,2,0)</f>
        <v>22150</v>
      </c>
      <c r="F4" s="141">
        <f t="shared" si="0"/>
        <v>63300</v>
      </c>
      <c r="G4" s="142">
        <f>VLOOKUP("Loan Interest Rate",[1]Data!A925:B3000,2,0)</f>
        <v>8.5000000000000006E-2</v>
      </c>
      <c r="H4" s="231">
        <f t="shared" ref="H4:H45" si="1">F4*G4</f>
        <v>5380.5</v>
      </c>
      <c r="I4" t="str">
        <f>VLOOKUP("Loan Interest Rate Type",[1]Data!A925:B3000,2,0)</f>
        <v>FIXED</v>
      </c>
      <c r="J4" t="str">
        <f>VLOOKUP("Loan Status Description",[1]Data!A925:B3000,2,0)</f>
        <v>DEFERRED</v>
      </c>
      <c r="K4" s="134">
        <f>VLOOKUP("Loan Status Effective Date",[1]Data!A171:B3000,2,0)</f>
        <v>41821</v>
      </c>
    </row>
    <row r="5" spans="1:13" x14ac:dyDescent="0.35">
      <c r="A5" s="227" t="str">
        <f>VLOOKUP("Loan Type",[1]Data!A1246:B3000,2,0)</f>
        <v>FFEL PLUS GRADUATE</v>
      </c>
      <c r="B5" s="134">
        <f>VLOOKUP("Loan Date",[1]Data!A1246:B3000,2,0)</f>
        <v>39429</v>
      </c>
      <c r="C5" s="141">
        <f>VLOOKUP("Loan Amount",[1]Data!A1246:B3000,2,0)</f>
        <v>32300</v>
      </c>
      <c r="D5" s="141">
        <f>VLOOKUP("Loan Outstanding Principal Balance",[1]Data!A1246:B3000,2,0)</f>
        <v>53383</v>
      </c>
      <c r="E5" s="141">
        <f>VLOOKUP("Loan Outstanding Interest Balance",[1]Data!A1246:B3000,2,0)</f>
        <v>5884</v>
      </c>
      <c r="F5" s="141">
        <f t="shared" si="0"/>
        <v>59267</v>
      </c>
      <c r="G5" s="142">
        <f>VLOOKUP("Loan Interest Rate",[1]Data!A1246:B3000,2,0)</f>
        <v>8.5000000000000006E-2</v>
      </c>
      <c r="H5" s="231">
        <f t="shared" si="1"/>
        <v>5037.6950000000006</v>
      </c>
      <c r="I5" t="str">
        <f>VLOOKUP("Loan Interest Rate Type",[1]Data!A1246:B3000,2,0)</f>
        <v>FIXED</v>
      </c>
      <c r="J5" t="str">
        <f>VLOOKUP("Loan Status Description",[1]Data!A1246:B3000,2,0)</f>
        <v>DEFERRED</v>
      </c>
      <c r="K5" s="134">
        <f>VLOOKUP("Loan Status Effective Date",[1]Data!A289:B3000,2,0)</f>
        <v>41821</v>
      </c>
    </row>
    <row r="6" spans="1:13" x14ac:dyDescent="0.35">
      <c r="A6" s="227" t="str">
        <f>VLOOKUP("Loan Type",[1]Data!A1009:B3000,2,0)</f>
        <v>FFEL PLUS GRADUATE</v>
      </c>
      <c r="B6" s="134">
        <f>VLOOKUP("Loan Date",[1]Data!A1009:B3000,2,0)</f>
        <v>39661</v>
      </c>
      <c r="C6" s="141">
        <f>VLOOKUP("Loan Amount",[1]Data!A1009:B3000,2,0)</f>
        <v>20950</v>
      </c>
      <c r="D6" s="141">
        <f>VLOOKUP("Loan Outstanding Principal Balance",[1]Data!A1009:B3000,2,0)</f>
        <v>20950</v>
      </c>
      <c r="E6" s="141">
        <f>VLOOKUP("Loan Outstanding Interest Balance",[1]Data!A1009:B3000,2,0)</f>
        <v>12812</v>
      </c>
      <c r="F6" s="141">
        <f t="shared" si="0"/>
        <v>33762</v>
      </c>
      <c r="G6" s="142">
        <f>VLOOKUP("Loan Interest Rate",[1]Data!A1009:B3000,2,0)</f>
        <v>8.5000000000000006E-2</v>
      </c>
      <c r="H6" s="231">
        <f t="shared" si="1"/>
        <v>2869.77</v>
      </c>
      <c r="I6" t="str">
        <f>VLOOKUP("Loan Interest Rate Type",[1]Data!A1009:B3000,2,0)</f>
        <v>FIXED</v>
      </c>
      <c r="J6" t="str">
        <f>VLOOKUP("Loan Status Description",[1]Data!A1009:B3000,2,0)</f>
        <v>DEFERRED</v>
      </c>
      <c r="K6" s="134">
        <f>VLOOKUP("Loan Status Effective Date",[1]Data!A230:B3000,2,0)</f>
        <v>41821</v>
      </c>
    </row>
    <row r="7" spans="1:13" x14ac:dyDescent="0.35">
      <c r="A7" s="227" t="str">
        <f>VLOOKUP("Loan Type",[1]Data!A684:B3000,2,0)</f>
        <v>FFEL PLUS GRADUATE</v>
      </c>
      <c r="B7" s="134">
        <f>VLOOKUP("Loan Date",[1]Data!A684:B3000,2,0)</f>
        <v>40182</v>
      </c>
      <c r="C7" s="141">
        <f>VLOOKUP("Loan Amount",[1]Data!A684:B3000,2,0)</f>
        <v>22350</v>
      </c>
      <c r="D7" s="141">
        <f>VLOOKUP("Loan Outstanding Principal Balance",[1]Data!A684:B3000,2,0)</f>
        <v>22350</v>
      </c>
      <c r="E7" s="141">
        <f>VLOOKUP("Loan Outstanding Interest Balance",[1]Data!A684:B3000,2,0)</f>
        <v>11052</v>
      </c>
      <c r="F7" s="141">
        <f t="shared" si="0"/>
        <v>33402</v>
      </c>
      <c r="G7" s="142">
        <f>VLOOKUP("Loan Interest Rate",[1]Data!A684:B3000,2,0)</f>
        <v>8.5000000000000006E-2</v>
      </c>
      <c r="H7" s="231">
        <f t="shared" si="1"/>
        <v>2839.17</v>
      </c>
      <c r="I7" t="str">
        <f>VLOOKUP("Loan Interest Rate Type",[1]Data!A684:B3000,2,0)</f>
        <v>FIXED</v>
      </c>
      <c r="J7" t="str">
        <f>VLOOKUP("Loan Status Description",[1]Data!A684:B3000,2,0)</f>
        <v>DEFERRED</v>
      </c>
      <c r="K7" s="134">
        <f>VLOOKUP("Loan Status Effective Date",[1]Data!A112:B3000,2,0)</f>
        <v>41821</v>
      </c>
    </row>
    <row r="8" spans="1:13" x14ac:dyDescent="0.35">
      <c r="A8" s="227" t="str">
        <f>VLOOKUP("Loan Type",[1]Data!A289:B3000,2,0)</f>
        <v>FFEL PLUS GRADUATE</v>
      </c>
      <c r="B8" s="134">
        <f>VLOOKUP("Loan Date",[1]Data!A289:B3000,2,0)</f>
        <v>40310</v>
      </c>
      <c r="C8" s="141">
        <f>VLOOKUP("Loan Amount",[1]Data!A289:B3000,2,0)</f>
        <v>22350</v>
      </c>
      <c r="D8" s="141">
        <f>VLOOKUP("Loan Outstanding Principal Balance",[1]Data!A289:B3000,2,0)</f>
        <v>22350</v>
      </c>
      <c r="E8" s="141">
        <f>VLOOKUP("Loan Outstanding Interest Balance",[1]Data!A289:B3000,2,0)</f>
        <v>10386</v>
      </c>
      <c r="F8" s="141">
        <f t="shared" si="0"/>
        <v>32736</v>
      </c>
      <c r="G8" s="142">
        <f>VLOOKUP("Loan Interest Rate",[1]Data!A289:B3000,2,0)</f>
        <v>8.5000000000000006E-2</v>
      </c>
      <c r="H8" s="231">
        <f t="shared" si="1"/>
        <v>2782.5600000000004</v>
      </c>
      <c r="I8" t="str">
        <f>VLOOKUP("Loan Interest Rate Type",[1]Data!A289:B3000,2,0)</f>
        <v>FIXED</v>
      </c>
      <c r="J8" t="str">
        <f>VLOOKUP("Loan Status Description",[1]Data!A289:B3000,2,0)</f>
        <v>DEFERRED</v>
      </c>
      <c r="K8" s="134">
        <f>VLOOKUP("Loan Status Effective Date",[1]Data!A53:B3000,2,0)</f>
        <v>41821</v>
      </c>
    </row>
    <row r="9" spans="1:13" x14ac:dyDescent="0.35">
      <c r="A9" s="227" t="str">
        <f>VLOOKUP("Loan Type",[1]Data!A1330:B3000,2,0)</f>
        <v>FFEL PLUS GRADUATE</v>
      </c>
      <c r="B9" s="134">
        <f>VLOOKUP("Loan Date",[1]Data!A1330:B3000,2,0)</f>
        <v>39423</v>
      </c>
      <c r="C9" s="141">
        <f>VLOOKUP("Loan Amount",[1]Data!A1330:B3000,2,0)</f>
        <v>1400</v>
      </c>
      <c r="D9" s="141">
        <f>VLOOKUP("Loan Outstanding Principal Balance",[1]Data!A1330:B3000,2,0)</f>
        <v>2354</v>
      </c>
      <c r="E9" s="141">
        <f>VLOOKUP("Loan Outstanding Interest Balance",[1]Data!A1330:B3000,2,0)</f>
        <v>260</v>
      </c>
      <c r="F9" s="141">
        <f t="shared" si="0"/>
        <v>2614</v>
      </c>
      <c r="G9" s="142">
        <f>VLOOKUP("Loan Interest Rate",[1]Data!A1330:B3000,2,0)</f>
        <v>8.5000000000000006E-2</v>
      </c>
      <c r="H9" s="231">
        <f t="shared" si="1"/>
        <v>222.19000000000003</v>
      </c>
      <c r="I9" t="str">
        <f>VLOOKUP("Loan Interest Rate Type",[1]Data!A1330:B3000,2,0)</f>
        <v>FIXED</v>
      </c>
      <c r="J9" s="143" t="str">
        <f>VLOOKUP("Loan Status Description",[1]Data!A1330:B3000,2,0)</f>
        <v>IN REPAYMENT</v>
      </c>
      <c r="K9" s="134">
        <f>VLOOKUP("Loan Status Effective Date",[1]Data!A368:B3000,2,0)</f>
        <v>41821</v>
      </c>
    </row>
    <row r="10" spans="1:13" x14ac:dyDescent="0.35">
      <c r="A10" s="140" t="str">
        <f>VLOOKUP("Loan Type",[1]Data!A53:B3000,2,0)</f>
        <v>DIRECT PLUS GRADUATE</v>
      </c>
      <c r="B10" s="134">
        <f>VLOOKUP("Loan Date",[1]Data!A53:B3000,2,0)</f>
        <v>40539</v>
      </c>
      <c r="C10" s="141">
        <f>VLOOKUP("Loan Amount",[1]Data!A53:B3000,2,0)</f>
        <v>16500</v>
      </c>
      <c r="D10" s="141">
        <f>VLOOKUP("Loan Outstanding Principal Balance",[1]Data!A53:B3000,2,0)</f>
        <v>16500</v>
      </c>
      <c r="E10" s="141">
        <f>VLOOKUP("Loan Outstanding Interest Balance",[1]Data!A53:B3000,2,0)</f>
        <v>6304</v>
      </c>
      <c r="F10" s="141">
        <f t="shared" si="0"/>
        <v>22804</v>
      </c>
      <c r="G10" s="142">
        <f>VLOOKUP("Loan Interest Rate",[1]Data!A53:B3000,2,0)</f>
        <v>7.9000000000000001E-2</v>
      </c>
      <c r="H10" s="231">
        <f t="shared" si="1"/>
        <v>1801.5160000000001</v>
      </c>
      <c r="I10" t="str">
        <f>VLOOKUP("Loan Interest Rate Type",[1]Data!A53:B3000,2,0)</f>
        <v>FIXED</v>
      </c>
      <c r="J10" t="str">
        <f>VLOOKUP("Loan Status Description",[1]Data!A53:B3000,2,0)</f>
        <v>DEFERRED</v>
      </c>
      <c r="K10" s="134">
        <f>VLOOKUP("Loan Status Effective Date",[1]Data!A526:B3000,2,0)</f>
        <v>41821</v>
      </c>
    </row>
    <row r="11" spans="1:13" ht="15" thickBot="1" x14ac:dyDescent="0.4">
      <c r="A11" s="140" t="str">
        <f>VLOOKUP("Loan Type",[1]Data!A112:B3000,2,0)</f>
        <v>DIRECT PLUS GRADUATE</v>
      </c>
      <c r="B11" s="134">
        <f>VLOOKUP("Loan Date",[1]Data!A112:B3000,2,0)</f>
        <v>40413</v>
      </c>
      <c r="C11" s="141">
        <f>VLOOKUP("Loan Amount",[1]Data!A112:B3000,2,0)</f>
        <v>15300</v>
      </c>
      <c r="D11" s="141">
        <f>VLOOKUP("Loan Outstanding Principal Balance",[1]Data!A112:B3000,2,0)</f>
        <v>15300</v>
      </c>
      <c r="E11" s="141">
        <f>VLOOKUP("Loan Outstanding Interest Balance",[1]Data!A112:B3000,2,0)</f>
        <v>6249</v>
      </c>
      <c r="F11" s="141">
        <f t="shared" si="0"/>
        <v>21549</v>
      </c>
      <c r="G11" s="142">
        <f>VLOOKUP("Loan Interest Rate",[1]Data!A112:B3000,2,0)</f>
        <v>7.9000000000000001E-2</v>
      </c>
      <c r="H11" s="231">
        <f t="shared" si="1"/>
        <v>1702.3710000000001</v>
      </c>
      <c r="I11" t="str">
        <f>VLOOKUP("Loan Interest Rate Type",[1]Data!A112:B3000,2,0)</f>
        <v>FIXED</v>
      </c>
      <c r="J11" t="str">
        <f>VLOOKUP("Loan Status Description",[1]Data!A112:B3000,2,0)</f>
        <v>DEFERRED</v>
      </c>
      <c r="K11" s="134">
        <f>VLOOKUP("Loan Status Effective Date",[1]Data!A605:B3000,2,0)</f>
        <v>41821</v>
      </c>
    </row>
    <row r="12" spans="1:13" s="144" customFormat="1" ht="15" thickBot="1" x14ac:dyDescent="0.4">
      <c r="B12" s="145"/>
      <c r="C12" s="146"/>
      <c r="D12" s="146"/>
      <c r="E12" s="146"/>
      <c r="F12" s="147">
        <f>SUM(F3:F11)</f>
        <v>334218</v>
      </c>
      <c r="G12" s="148">
        <f>((H12/F12))</f>
        <v>8.4203759223022104E-2</v>
      </c>
      <c r="H12" s="232">
        <f>SUM(H3:H11)</f>
        <v>28142.412</v>
      </c>
      <c r="K12" s="145"/>
    </row>
    <row r="13" spans="1:13" s="144" customFormat="1" x14ac:dyDescent="0.35">
      <c r="B13" s="145"/>
      <c r="C13" s="146"/>
      <c r="D13" s="146"/>
      <c r="E13" s="146"/>
      <c r="F13" s="146"/>
      <c r="G13" s="149"/>
      <c r="H13" s="233"/>
      <c r="K13" s="145"/>
    </row>
    <row r="14" spans="1:13" x14ac:dyDescent="0.35">
      <c r="A14" s="150" t="str">
        <f>VLOOKUP("Loan Type",[1]Data!A230:B3000,2,0)</f>
        <v>DIRECT STAFFORD SUBSIDIZED</v>
      </c>
      <c r="B14" s="134">
        <f>VLOOKUP("Loan Date",[1]Data!A230:B3000,2,0)</f>
        <v>40413</v>
      </c>
      <c r="C14" s="141">
        <f>VLOOKUP("Loan Amount",[1]Data!A230:B3000,2,0)</f>
        <v>4250</v>
      </c>
      <c r="D14" s="141">
        <f>VLOOKUP("Loan Outstanding Principal Balance",[1]Data!A230:B3000,2,0)</f>
        <v>5048</v>
      </c>
      <c r="E14" s="141">
        <f>VLOOKUP("Loan Outstanding Interest Balance",[1]Data!A230:B3000,2,0)</f>
        <v>0</v>
      </c>
      <c r="F14" s="141">
        <f t="shared" ref="F14:F22" si="2">D14+E14</f>
        <v>5048</v>
      </c>
      <c r="G14" s="151">
        <f>VLOOKUP("Loan Interest Rate",[1]Data!A230:B3000,2,0)</f>
        <v>6.8000000000000005E-2</v>
      </c>
      <c r="H14" s="231">
        <f t="shared" si="1"/>
        <v>343.26400000000001</v>
      </c>
      <c r="I14" t="str">
        <f>VLOOKUP("Loan Interest Rate Type",[1]Data!A230:B3000,2,0)</f>
        <v>FIXED</v>
      </c>
      <c r="J14" t="str">
        <f>VLOOKUP("Loan Status Description",[1]Data!A230:B3000,2,0)</f>
        <v>DEFERRED</v>
      </c>
      <c r="K14" s="134">
        <f>VLOOKUP("Loan Status Effective Date",[1]Data!A763:B3000,2,0)</f>
        <v>41821</v>
      </c>
    </row>
    <row r="15" spans="1:13" x14ac:dyDescent="0.35">
      <c r="A15" s="228" t="str">
        <f>VLOOKUP("Loan Type",[1]Data!A1475:B3000,2,0)</f>
        <v>STAFFORD SUBSIDIZED</v>
      </c>
      <c r="B15" s="134">
        <f>VLOOKUP("Loan Date",[1]Data!A1475:B3000,2,0)</f>
        <v>39423</v>
      </c>
      <c r="C15" s="141">
        <f>VLOOKUP("Loan Amount",[1]Data!A1475:B3000,2,0)</f>
        <v>8500</v>
      </c>
      <c r="D15" s="141">
        <f>VLOOKUP("Loan Outstanding Principal Balance",[1]Data!A1475:B3000,2,0)</f>
        <v>10199</v>
      </c>
      <c r="E15" s="141">
        <f>VLOOKUP("Loan Outstanding Interest Balance",[1]Data!A1475:B3000,2,0)</f>
        <v>1</v>
      </c>
      <c r="F15" s="141">
        <f t="shared" si="2"/>
        <v>10200</v>
      </c>
      <c r="G15" s="151">
        <f>VLOOKUP("Loan Interest Rate",[1]Data!A1475:B3000,2,0)</f>
        <v>6.8000000000000005E-2</v>
      </c>
      <c r="H15" s="231">
        <f t="shared" si="1"/>
        <v>693.6</v>
      </c>
      <c r="I15" t="str">
        <f>VLOOKUP("Loan Interest Rate Type",[1]Data!A1475:B3000,2,0)</f>
        <v>FIXED</v>
      </c>
      <c r="J15" t="str">
        <f>VLOOKUP("Loan Status Description",[1]Data!A1475:B3000,2,0)</f>
        <v>DEFERRED</v>
      </c>
      <c r="K15" s="134">
        <f>VLOOKUP("Loan Status Effective Date",[1]Data!A1556:B3000,2,0)</f>
        <v>41821</v>
      </c>
    </row>
    <row r="16" spans="1:13" x14ac:dyDescent="0.35">
      <c r="A16" s="228" t="str">
        <f>VLOOKUP("Loan Type",[1]Data!A1721:B3000,2,0)</f>
        <v>STAFFORD SUBSIDIZED</v>
      </c>
      <c r="B16" s="134">
        <f>VLOOKUP("Loan Date",[1]Data!A1721:B3000,2,0)</f>
        <v>39174</v>
      </c>
      <c r="C16" s="141">
        <f>VLOOKUP("Loan Amount",[1]Data!A1721:B3000,2,0)</f>
        <v>8500</v>
      </c>
      <c r="D16" s="141">
        <f>VLOOKUP("Loan Outstanding Principal Balance",[1]Data!A1721:B3000,2,0)</f>
        <v>10199</v>
      </c>
      <c r="E16" s="141">
        <f>VLOOKUP("Loan Outstanding Interest Balance",[1]Data!A1721:B3000,2,0)</f>
        <v>1</v>
      </c>
      <c r="F16" s="141">
        <f t="shared" si="2"/>
        <v>10200</v>
      </c>
      <c r="G16" s="151">
        <f>VLOOKUP("Loan Interest Rate",[1]Data!A1721:B3000,2,0)</f>
        <v>6.8000000000000005E-2</v>
      </c>
      <c r="H16" s="231">
        <f t="shared" si="1"/>
        <v>693.6</v>
      </c>
      <c r="I16" t="str">
        <f>VLOOKUP("Loan Interest Rate Type",[1]Data!A1721:B3000,2,0)</f>
        <v>FIXED</v>
      </c>
      <c r="J16" t="str">
        <f>VLOOKUP("Loan Status Description",[1]Data!A1721:B3000,2,0)</f>
        <v>DEFERRED</v>
      </c>
      <c r="K16" s="134">
        <f>VLOOKUP("Loan Status Effective Date",[1]Data!A1721:B3000,2,0)</f>
        <v>41821</v>
      </c>
    </row>
    <row r="17" spans="1:11" x14ac:dyDescent="0.35">
      <c r="A17" s="228" t="str">
        <f>VLOOKUP("Loan Type",[1]Data!A844:B3000,2,0)</f>
        <v>STAFFORD SUBSIDIZED</v>
      </c>
      <c r="B17" s="134">
        <f>VLOOKUP("Loan Date",[1]Data!A844:B3000,2,0)</f>
        <v>39924</v>
      </c>
      <c r="C17" s="141">
        <f>VLOOKUP("Loan Amount",[1]Data!A844:B3000,2,0)</f>
        <v>8500</v>
      </c>
      <c r="D17" s="141">
        <f>VLOOKUP("Loan Outstanding Principal Balance",[1]Data!A844:B3000,2,0)</f>
        <v>10096</v>
      </c>
      <c r="E17" s="141">
        <f>VLOOKUP("Loan Outstanding Interest Balance",[1]Data!A844:B3000,2,0)</f>
        <v>0</v>
      </c>
      <c r="F17" s="141">
        <f t="shared" si="2"/>
        <v>10096</v>
      </c>
      <c r="G17" s="151">
        <f>VLOOKUP("Loan Interest Rate",[1]Data!A844:B3000,2,0)</f>
        <v>6.8000000000000005E-2</v>
      </c>
      <c r="H17" s="231">
        <f t="shared" si="1"/>
        <v>686.52800000000002</v>
      </c>
      <c r="I17" t="str">
        <f>VLOOKUP("Loan Interest Rate Type",[1]Data!A844:B3000,2,0)</f>
        <v>FIXED</v>
      </c>
      <c r="J17" t="str">
        <f>VLOOKUP("Loan Status Description",[1]Data!A844:B3000,2,0)</f>
        <v>DEFERRED</v>
      </c>
      <c r="K17" s="134">
        <f>VLOOKUP("Loan Status Effective Date",[1]Data!A1246:B3000,2,0)</f>
        <v>41821</v>
      </c>
    </row>
    <row r="18" spans="1:11" x14ac:dyDescent="0.35">
      <c r="A18" s="228" t="str">
        <f>VLOOKUP("Loan Type",[1]Data!A447:B3000,2,0)</f>
        <v>STAFFORD SUBSIDIZED</v>
      </c>
      <c r="B18" s="134">
        <f>VLOOKUP("Loan Date",[1]Data!A447:B3000,2,0)</f>
        <v>40310</v>
      </c>
      <c r="C18" s="141">
        <f>VLOOKUP("Loan Amount",[1]Data!A447:B3000,2,0)</f>
        <v>4250</v>
      </c>
      <c r="D18" s="141">
        <f>VLOOKUP("Loan Outstanding Principal Balance",[1]Data!A447:B3000,2,0)</f>
        <v>5048</v>
      </c>
      <c r="E18" s="141">
        <f>VLOOKUP("Loan Outstanding Interest Balance",[1]Data!A447:B3000,2,0)</f>
        <v>0</v>
      </c>
      <c r="F18" s="141">
        <f t="shared" si="2"/>
        <v>5048</v>
      </c>
      <c r="G18" s="151">
        <f>VLOOKUP("Loan Interest Rate",[1]Data!A447:B3000,2,0)</f>
        <v>6.8000000000000005E-2</v>
      </c>
      <c r="H18" s="231">
        <f t="shared" si="1"/>
        <v>343.26400000000001</v>
      </c>
      <c r="I18" t="str">
        <f>VLOOKUP("Loan Interest Rate Type",[1]Data!A447:B3000,2,0)</f>
        <v>FIXED</v>
      </c>
      <c r="J18" t="str">
        <f>VLOOKUP("Loan Status Description",[1]Data!A447:B3000,2,0)</f>
        <v>DEFERRED</v>
      </c>
      <c r="K18" s="134">
        <f>VLOOKUP("Loan Status Effective Date",[1]Data!A925:B3000,2,0)</f>
        <v>41821</v>
      </c>
    </row>
    <row r="19" spans="1:11" x14ac:dyDescent="0.35">
      <c r="A19" s="228" t="str">
        <f>VLOOKUP("Loan Type",[1]Data!A526:B3000,2,0)</f>
        <v>STAFFORD SUBSIDIZED</v>
      </c>
      <c r="B19" s="134">
        <f>VLOOKUP("Loan Date",[1]Data!A526:B3000,2,0)</f>
        <v>40182</v>
      </c>
      <c r="C19" s="141">
        <f>VLOOKUP("Loan Amount",[1]Data!A526:B3000,2,0)</f>
        <v>4250</v>
      </c>
      <c r="D19" s="141">
        <f>VLOOKUP("Loan Outstanding Principal Balance",[1]Data!A526:B3000,2,0)</f>
        <v>5048</v>
      </c>
      <c r="E19" s="141">
        <f>VLOOKUP("Loan Outstanding Interest Balance",[1]Data!A526:B3000,2,0)</f>
        <v>0</v>
      </c>
      <c r="F19" s="141">
        <f t="shared" si="2"/>
        <v>5048</v>
      </c>
      <c r="G19" s="151">
        <f>VLOOKUP("Loan Interest Rate",[1]Data!A526:B3000,2,0)</f>
        <v>6.8000000000000005E-2</v>
      </c>
      <c r="H19" s="231">
        <f t="shared" si="1"/>
        <v>343.26400000000001</v>
      </c>
      <c r="I19" t="str">
        <f>VLOOKUP("Loan Interest Rate Type",[1]Data!A526:B3000,2,0)</f>
        <v>FIXED</v>
      </c>
      <c r="J19" t="str">
        <f>VLOOKUP("Loan Status Description",[1]Data!A526:B3000,2,0)</f>
        <v>DEFERRED</v>
      </c>
      <c r="K19" s="134">
        <f>VLOOKUP("Loan Status Effective Date",[1]Data!A1009:B3000,2,0)</f>
        <v>41821</v>
      </c>
    </row>
    <row r="20" spans="1:11" x14ac:dyDescent="0.35">
      <c r="A20" s="228" t="str">
        <f>VLOOKUP("Loan Type",[1]Data!A1088:B3000,2,0)</f>
        <v>STAFFORD SUBSIDIZED</v>
      </c>
      <c r="B20" s="134">
        <f>VLOOKUP("Loan Date",[1]Data!A1088:B3000,2,0)</f>
        <v>39626</v>
      </c>
      <c r="C20" s="141">
        <f>VLOOKUP("Loan Amount",[1]Data!A1088:B3000,2,0)</f>
        <v>4250</v>
      </c>
      <c r="D20" s="141">
        <f>VLOOKUP("Loan Outstanding Principal Balance",[1]Data!A1088:B3000,2,0)</f>
        <v>5048</v>
      </c>
      <c r="E20" s="141">
        <f>VLOOKUP("Loan Outstanding Interest Balance",[1]Data!A1088:B3000,2,0)</f>
        <v>0</v>
      </c>
      <c r="F20" s="141">
        <f t="shared" si="2"/>
        <v>5048</v>
      </c>
      <c r="G20" s="151">
        <f>VLOOKUP("Loan Interest Rate",[1]Data!A1088:B3000,2,0)</f>
        <v>6.8000000000000005E-2</v>
      </c>
      <c r="H20" s="231">
        <f t="shared" si="1"/>
        <v>343.26400000000001</v>
      </c>
      <c r="I20" t="str">
        <f>VLOOKUP("Loan Interest Rate Type",[1]Data!A1088:B3000,2,0)</f>
        <v>FIXED</v>
      </c>
      <c r="J20" t="str">
        <f>VLOOKUP("Loan Status Description",[1]Data!A1088:B3000,2,0)</f>
        <v>DEFERRED</v>
      </c>
      <c r="K20" s="134">
        <f>VLOOKUP("Loan Status Effective Date",[1]Data!A1330:B3000,2,0)</f>
        <v>40637</v>
      </c>
    </row>
    <row r="21" spans="1:11" x14ac:dyDescent="0.35">
      <c r="A21" s="150" t="str">
        <f>VLOOKUP("Loan Type",[1]Data!A179:B3008,2,0)</f>
        <v>DIRECT STAFFORD SUBSIDIZED</v>
      </c>
      <c r="B21" s="134">
        <f>VLOOKUP("Loan Date",[1]Data!A179:B3008,2,0)</f>
        <v>40413</v>
      </c>
      <c r="C21" s="141">
        <f>VLOOKUP("Loan Amount",[1]Data!A179:B3008,2,0)</f>
        <v>6000</v>
      </c>
      <c r="D21" s="141">
        <f>VLOOKUP("Loan Outstanding Principal Balance",[1]Data!A179:B3008,2,0)</f>
        <v>6440</v>
      </c>
      <c r="E21" s="141">
        <f>VLOOKUP("Loan Outstanding Interest Balance",[1]Data!A179:B3008,2,0)</f>
        <v>1794</v>
      </c>
      <c r="F21" s="141">
        <f t="shared" si="2"/>
        <v>8234</v>
      </c>
      <c r="G21" s="151">
        <f>VLOOKUP("Loan Interest Rate",[1]Data!A179:B3008,2,0)</f>
        <v>6.8000000000000005E-2</v>
      </c>
      <c r="H21" s="231">
        <f t="shared" si="1"/>
        <v>559.91200000000003</v>
      </c>
      <c r="I21" t="str">
        <f>VLOOKUP("Loan Interest Rate Type",[1]Data!A179:B3008,2,0)</f>
        <v>FIXED</v>
      </c>
      <c r="J21" t="str">
        <f>VLOOKUP("Loan Status Description",[1]Data!A179:B3008,2,0)</f>
        <v>DEFERRED</v>
      </c>
      <c r="K21" s="134">
        <f>VLOOKUP("Loan Status Effective Date",[1]Data!A692:B3008,2,0)</f>
        <v>41821</v>
      </c>
    </row>
    <row r="22" spans="1:11" ht="15" thickBot="1" x14ac:dyDescent="0.4">
      <c r="A22" s="150" t="str">
        <f>VLOOKUP("Loan Type",[1]Data!A2005:B2989,2,0)</f>
        <v>FEDERAL PERKINS</v>
      </c>
      <c r="B22" s="134">
        <f>VLOOKUP("Loan Date",[1]Data!A2005:B2989,2,0)</f>
        <v>38507</v>
      </c>
      <c r="C22" s="141">
        <f>VLOOKUP("Loan Amount",[1]Data!A2005:B2989,2,0)</f>
        <v>400</v>
      </c>
      <c r="D22" s="141">
        <f>VLOOKUP("Loan Outstanding Principal Balance",[1]Data!A2005:B2989,2,0)</f>
        <v>400</v>
      </c>
      <c r="E22" s="141">
        <f>VLOOKUP("Loan Outstanding Interest Balance",[1]Data!A2005:B2989,2,0)</f>
        <v>0</v>
      </c>
      <c r="F22" s="141">
        <f t="shared" si="2"/>
        <v>400</v>
      </c>
      <c r="G22" s="152">
        <f>VLOOKUP("Loan Interest Rate",[1]Data!A2005:B2989,2,0)</f>
        <v>0.05</v>
      </c>
      <c r="H22" s="231">
        <f t="shared" si="1"/>
        <v>20</v>
      </c>
      <c r="I22">
        <f>VLOOKUP("Loan Interest Rate Type",[1]Data!A2005:B2989,2,0)</f>
        <v>0</v>
      </c>
      <c r="J22" s="143" t="str">
        <f>VLOOKUP("Loan Status Description",[1]Data!A2005:B2989,2,0)</f>
        <v>IN POST-DEFERMENT GRACE PERIOD</v>
      </c>
      <c r="K22" s="134">
        <f>VLOOKUP("Loan Status Effective Date",[1]Data!A1791:B2989,2,0)</f>
        <v>41821</v>
      </c>
    </row>
    <row r="23" spans="1:11" s="144" customFormat="1" ht="15" thickBot="1" x14ac:dyDescent="0.4">
      <c r="B23" s="145"/>
      <c r="C23" s="146"/>
      <c r="D23" s="146"/>
      <c r="E23" s="146"/>
      <c r="F23" s="147">
        <f>SUM(F14:F22)</f>
        <v>59322</v>
      </c>
      <c r="G23" s="148">
        <f>((H23/F23))</f>
        <v>6.7878628502073449E-2</v>
      </c>
      <c r="H23" s="233">
        <f>SUM(H14:H22)</f>
        <v>4026.6960000000008</v>
      </c>
      <c r="K23" s="145"/>
    </row>
    <row r="24" spans="1:11" s="144" customFormat="1" x14ac:dyDescent="0.35">
      <c r="B24" s="145"/>
      <c r="C24" s="146"/>
      <c r="D24" s="146"/>
      <c r="E24" s="146"/>
      <c r="F24" s="146"/>
      <c r="G24" s="153"/>
      <c r="H24" s="233"/>
      <c r="K24" s="145"/>
    </row>
    <row r="25" spans="1:11" x14ac:dyDescent="0.35">
      <c r="A25" s="229" t="str">
        <f>VLOOKUP("Loan Type",[1]Data!A1394:B3000,2,0)</f>
        <v>STAFFORD UNSUBSIDIZED</v>
      </c>
      <c r="B25" s="134">
        <f>VLOOKUP("Loan Date",[1]Data!A1394:B3000,2,0)</f>
        <v>39423</v>
      </c>
      <c r="C25" s="141">
        <f>VLOOKUP("Loan Amount",[1]Data!A1394:B3000,2,0)</f>
        <v>12000</v>
      </c>
      <c r="D25" s="141">
        <f>VLOOKUP("Loan Outstanding Principal Balance",[1]Data!A1394:B3000,2,0)</f>
        <v>17918</v>
      </c>
      <c r="E25" s="141">
        <f>VLOOKUP("Loan Outstanding Interest Balance",[1]Data!A1394:B3000,2,0)</f>
        <v>1628</v>
      </c>
      <c r="F25" s="141">
        <f t="shared" ref="F25:F31" si="3">D25+E25</f>
        <v>19546</v>
      </c>
      <c r="G25" s="151">
        <f>VLOOKUP("Loan Interest Rate",[1]Data!A1394:B3000,2,0)</f>
        <v>6.8000000000000005E-2</v>
      </c>
      <c r="H25" s="231">
        <f t="shared" si="1"/>
        <v>1329.1280000000002</v>
      </c>
      <c r="I25" t="str">
        <f>VLOOKUP("Loan Interest Rate Type",[1]Data!A1394:B3000,2,0)</f>
        <v>FIXED</v>
      </c>
      <c r="J25" t="str">
        <f>VLOOKUP("Loan Status Description",[1]Data!A1394:B3000,2,0)</f>
        <v>DEFERRED</v>
      </c>
      <c r="K25" s="134">
        <f>VLOOKUP("Loan Status Effective Date",[1]Data!A1475:B3000,2,0)</f>
        <v>41821</v>
      </c>
    </row>
    <row r="26" spans="1:11" x14ac:dyDescent="0.35">
      <c r="A26" s="229" t="str">
        <f>VLOOKUP("Loan Type",[1]Data!A763:B3000,2,0)</f>
        <v>STAFFORD UNSUBSIDIZED</v>
      </c>
      <c r="B26" s="134">
        <f>VLOOKUP("Loan Date",[1]Data!A763:B3000,2,0)</f>
        <v>39924</v>
      </c>
      <c r="C26" s="141">
        <f>VLOOKUP("Loan Amount",[1]Data!A763:B3000,2,0)</f>
        <v>12000</v>
      </c>
      <c r="D26" s="141">
        <f>VLOOKUP("Loan Outstanding Principal Balance",[1]Data!A763:B3000,2,0)</f>
        <v>13823</v>
      </c>
      <c r="E26" s="141">
        <f>VLOOKUP("Loan Outstanding Interest Balance",[1]Data!A763:B3000,2,0)</f>
        <v>3852</v>
      </c>
      <c r="F26" s="141">
        <f t="shared" si="3"/>
        <v>17675</v>
      </c>
      <c r="G26" s="151">
        <f>VLOOKUP("Loan Interest Rate",[1]Data!A763:B3000,2,0)</f>
        <v>6.8000000000000005E-2</v>
      </c>
      <c r="H26" s="231">
        <f t="shared" si="1"/>
        <v>1201.9000000000001</v>
      </c>
      <c r="I26" t="str">
        <f>VLOOKUP("Loan Interest Rate Type",[1]Data!A763:B3000,2,0)</f>
        <v>FIXED</v>
      </c>
      <c r="J26" t="str">
        <f>VLOOKUP("Loan Status Description",[1]Data!A763:B3000,2,0)</f>
        <v>DEFERRED</v>
      </c>
      <c r="K26" s="134">
        <f>VLOOKUP("Loan Status Effective Date",[1]Data!A1167:B3000,2,0)</f>
        <v>41821</v>
      </c>
    </row>
    <row r="27" spans="1:11" x14ac:dyDescent="0.35">
      <c r="A27" s="229" t="str">
        <f>VLOOKUP("Loan Type",[1]Data!A1640:B3000,2,0)</f>
        <v>STAFFORD UNSUBSIDIZED</v>
      </c>
      <c r="B27" s="134">
        <f>VLOOKUP("Loan Date",[1]Data!A1640:B3000,2,0)</f>
        <v>39174</v>
      </c>
      <c r="C27" s="141">
        <f>VLOOKUP("Loan Amount",[1]Data!A1640:B3000,2,0)</f>
        <v>10000</v>
      </c>
      <c r="D27" s="141">
        <f>VLOOKUP("Loan Outstanding Principal Balance",[1]Data!A1640:B3000,2,0)</f>
        <v>15478</v>
      </c>
      <c r="E27" s="141">
        <f>VLOOKUP("Loan Outstanding Interest Balance",[1]Data!A1640:B3000,2,0)</f>
        <v>1406</v>
      </c>
      <c r="F27" s="141">
        <f t="shared" si="3"/>
        <v>16884</v>
      </c>
      <c r="G27" s="151">
        <f>VLOOKUP("Loan Interest Rate",[1]Data!A1640:B3000,2,0)</f>
        <v>6.8000000000000005E-2</v>
      </c>
      <c r="H27" s="231">
        <f t="shared" si="1"/>
        <v>1148.1120000000001</v>
      </c>
      <c r="I27" t="str">
        <f>VLOOKUP("Loan Interest Rate Type",[1]Data!A1640:B3000,2,0)</f>
        <v>FIXED</v>
      </c>
      <c r="J27" t="str">
        <f>VLOOKUP("Loan Status Description",[1]Data!A1640:B3000,2,0)</f>
        <v>DEFERRED</v>
      </c>
      <c r="K27" s="134">
        <f>VLOOKUP("Loan Status Effective Date",[1]Data!A1640:B3000,2,0)</f>
        <v>41821</v>
      </c>
    </row>
    <row r="28" spans="1:11" x14ac:dyDescent="0.35">
      <c r="A28" s="229" t="str">
        <f>VLOOKUP("Loan Type",[1]Data!A1167:B3000,2,0)</f>
        <v>STAFFORD UNSUBSIDIZED</v>
      </c>
      <c r="B28" s="134">
        <f>VLOOKUP("Loan Date",[1]Data!A1167:B3000,2,0)</f>
        <v>39626</v>
      </c>
      <c r="C28" s="141">
        <f>VLOOKUP("Loan Amount",[1]Data!A1167:B3000,2,0)</f>
        <v>6000</v>
      </c>
      <c r="D28" s="141">
        <f>VLOOKUP("Loan Outstanding Principal Balance",[1]Data!A1167:B3000,2,0)</f>
        <v>7263</v>
      </c>
      <c r="E28" s="141">
        <f>VLOOKUP("Loan Outstanding Interest Balance",[1]Data!A1167:B3000,2,0)</f>
        <v>2024</v>
      </c>
      <c r="F28" s="141">
        <f t="shared" si="3"/>
        <v>9287</v>
      </c>
      <c r="G28" s="151">
        <f>VLOOKUP("Loan Interest Rate",[1]Data!A1167:B3000,2,0)</f>
        <v>6.8000000000000005E-2</v>
      </c>
      <c r="H28" s="231">
        <f t="shared" si="1"/>
        <v>631.51600000000008</v>
      </c>
      <c r="I28" t="str">
        <f>VLOOKUP("Loan Interest Rate Type",[1]Data!A1167:B3000,2,0)</f>
        <v>FIXED</v>
      </c>
      <c r="J28" t="str">
        <f>VLOOKUP("Loan Status Description",[1]Data!A1167:B3000,2,0)</f>
        <v>DEFERRED</v>
      </c>
      <c r="K28" s="134">
        <f>VLOOKUP("Loan Status Effective Date",[1]Data!A1394:B3000,2,0)</f>
        <v>41821</v>
      </c>
    </row>
    <row r="29" spans="1:11" x14ac:dyDescent="0.35">
      <c r="A29" s="229" t="str">
        <f>VLOOKUP("Loan Type",[1]Data!A605:B3000,2,0)</f>
        <v>STAFFORD UNSUBSIDIZED</v>
      </c>
      <c r="B29" s="134">
        <f>VLOOKUP("Loan Date",[1]Data!A605:B3000,2,0)</f>
        <v>40182</v>
      </c>
      <c r="C29" s="141">
        <f>VLOOKUP("Loan Amount",[1]Data!A605:B3000,2,0)</f>
        <v>6000</v>
      </c>
      <c r="D29" s="141">
        <f>VLOOKUP("Loan Outstanding Principal Balance",[1]Data!A605:B3000,2,0)</f>
        <v>6701</v>
      </c>
      <c r="E29" s="141">
        <f>VLOOKUP("Loan Outstanding Interest Balance",[1]Data!A605:B3000,2,0)</f>
        <v>1867</v>
      </c>
      <c r="F29" s="141">
        <f t="shared" si="3"/>
        <v>8568</v>
      </c>
      <c r="G29" s="151">
        <f>VLOOKUP("Loan Interest Rate",[1]Data!A605:B3000,2,0)</f>
        <v>6.8000000000000005E-2</v>
      </c>
      <c r="H29" s="231">
        <f t="shared" si="1"/>
        <v>582.62400000000002</v>
      </c>
      <c r="I29" t="str">
        <f>VLOOKUP("Loan Interest Rate Type",[1]Data!A605:B3000,2,0)</f>
        <v>FIXED</v>
      </c>
      <c r="J29" t="str">
        <f>VLOOKUP("Loan Status Description",[1]Data!A605:B3000,2,0)</f>
        <v>DEFERRED</v>
      </c>
      <c r="K29" s="134">
        <f>VLOOKUP("Loan Status Effective Date",[1]Data!A1088:B3000,2,0)</f>
        <v>41821</v>
      </c>
    </row>
    <row r="30" spans="1:11" x14ac:dyDescent="0.35">
      <c r="A30" s="229" t="str">
        <f>VLOOKUP("Loan Type",[1]Data!A368:B3000,2,0)</f>
        <v>STAFFORD UNSUBSIDIZED</v>
      </c>
      <c r="B30" s="134">
        <f>VLOOKUP("Loan Date",[1]Data!A368:B3000,2,0)</f>
        <v>40310</v>
      </c>
      <c r="C30" s="141">
        <f>VLOOKUP("Loan Amount",[1]Data!A368:B3000,2,0)</f>
        <v>6000</v>
      </c>
      <c r="D30" s="141">
        <f>VLOOKUP("Loan Outstanding Principal Balance",[1]Data!A368:B3000,2,0)</f>
        <v>6558</v>
      </c>
      <c r="E30" s="141">
        <f>VLOOKUP("Loan Outstanding Interest Balance",[1]Data!A368:B3000,2,0)</f>
        <v>1827</v>
      </c>
      <c r="F30" s="141">
        <f t="shared" si="3"/>
        <v>8385</v>
      </c>
      <c r="G30" s="151">
        <f>VLOOKUP("Loan Interest Rate",[1]Data!A368:B3000,2,0)</f>
        <v>6.8000000000000005E-2</v>
      </c>
      <c r="H30" s="231">
        <f t="shared" si="1"/>
        <v>570.18000000000006</v>
      </c>
      <c r="I30" t="str">
        <f>VLOOKUP("Loan Interest Rate Type",[1]Data!A368:B3000,2,0)</f>
        <v>FIXED</v>
      </c>
      <c r="J30" t="str">
        <f>VLOOKUP("Loan Status Description",[1]Data!A368:B3000,2,0)</f>
        <v>DEFERRED</v>
      </c>
      <c r="K30" s="134">
        <f>VLOOKUP("Loan Status Effective Date",[1]Data!A844:B3000,2,0)</f>
        <v>41821</v>
      </c>
    </row>
    <row r="31" spans="1:11" ht="15" thickBot="1" x14ac:dyDescent="0.4">
      <c r="A31" s="229" t="str">
        <f>VLOOKUP("Loan Type",[1]Data!A1798:B2996,2,0)</f>
        <v>FFEL CONSOLIDATED</v>
      </c>
      <c r="B31" s="134">
        <f>VLOOKUP("Loan Date",[1]Data!A1798:B2996,2,0)</f>
        <v>38868</v>
      </c>
      <c r="C31" s="141">
        <f>VLOOKUP("Loan Amount",[1]Data!A1798:B2996,2,0)</f>
        <v>40817</v>
      </c>
      <c r="D31" s="141">
        <f>VLOOKUP("Loan Outstanding Principal Balance",[1]Data!A1798:B2996,2,0)</f>
        <v>49733</v>
      </c>
      <c r="E31" s="141">
        <f>VLOOKUP("Loan Outstanding Interest Balance",[1]Data!A1798:B2996,2,0)</f>
        <v>1520</v>
      </c>
      <c r="F31" s="154">
        <f t="shared" si="3"/>
        <v>51253</v>
      </c>
      <c r="G31" s="155">
        <f>VLOOKUP("Loan Interest Rate",[1]Data!A1798:B2996,2,0)</f>
        <v>4.7500000000000001E-2</v>
      </c>
      <c r="H31" s="231">
        <f t="shared" si="1"/>
        <v>2434.5174999999999</v>
      </c>
      <c r="I31" t="str">
        <f>VLOOKUP("Loan Interest Rate Type",[1]Data!A1798:B2996,2,0)</f>
        <v>FIXED</v>
      </c>
      <c r="J31" t="str">
        <f>VLOOKUP("Loan Status Description",[1]Data!A1798:B2996,2,0)</f>
        <v>DEFERRED</v>
      </c>
      <c r="K31" s="134">
        <f>VLOOKUP("Loan Status Effective Date",[1]Data!A2012:B2996,2,0)</f>
        <v>39569</v>
      </c>
    </row>
    <row r="32" spans="1:11" s="144" customFormat="1" ht="15" thickBot="1" x14ac:dyDescent="0.4">
      <c r="B32" s="145"/>
      <c r="C32" s="146"/>
      <c r="D32" s="146"/>
      <c r="E32" s="146"/>
      <c r="F32" s="147">
        <f>SUM(F25:F31)</f>
        <v>131598</v>
      </c>
      <c r="G32" s="148">
        <f>((H32/F32))</f>
        <v>6.0015938692077393E-2</v>
      </c>
      <c r="H32" s="233">
        <f>SUM(H25:H31)</f>
        <v>7897.9775000000009</v>
      </c>
      <c r="K32" s="145"/>
    </row>
    <row r="33" spans="1:11" s="144" customFormat="1" x14ac:dyDescent="0.35">
      <c r="B33" s="145"/>
      <c r="C33" s="146"/>
      <c r="D33" s="146"/>
      <c r="E33" s="146"/>
      <c r="F33" s="146"/>
      <c r="G33" s="153"/>
      <c r="H33" s="233"/>
      <c r="K33" s="145"/>
    </row>
    <row r="34" spans="1:11" x14ac:dyDescent="0.35">
      <c r="A34" s="156" t="s">
        <v>128</v>
      </c>
      <c r="F34" s="141">
        <v>20269</v>
      </c>
      <c r="G34" s="153">
        <v>4.7500000000000001E-2</v>
      </c>
      <c r="I34" s="143" t="s">
        <v>129</v>
      </c>
    </row>
    <row r="35" spans="1:11" s="144" customFormat="1" x14ac:dyDescent="0.35">
      <c r="B35" s="145"/>
      <c r="C35" s="146"/>
      <c r="D35" s="146"/>
      <c r="E35" s="146"/>
      <c r="F35" s="146"/>
      <c r="G35" s="153"/>
      <c r="H35" s="233"/>
      <c r="K35" s="145"/>
    </row>
    <row r="36" spans="1:11" s="157" customFormat="1" x14ac:dyDescent="0.35">
      <c r="A36" s="157" t="str">
        <f>VLOOKUP("Loan Type",[1]Data!A2064:B3000,2,0)</f>
        <v>STAFFORD UNSUBSIDIZED</v>
      </c>
      <c r="B36" s="158">
        <f>VLOOKUP("Loan Date",[1]Data!A2064:B3000,2,0)</f>
        <v>38484</v>
      </c>
      <c r="C36" s="159">
        <f>VLOOKUP("Loan Amount",[1]Data!A2064:B3000,2,0)</f>
        <v>4323</v>
      </c>
      <c r="D36" s="159">
        <f>VLOOKUP("Loan Outstanding Principal Balance",[1]Data!A2064:B3000,2,0)</f>
        <v>0</v>
      </c>
      <c r="E36" s="159">
        <f>VLOOKUP("Loan Outstanding Interest Balance",[1]Data!A2064:B3000,2,0)</f>
        <v>0</v>
      </c>
      <c r="F36" s="159">
        <f t="shared" ref="F36:F45" si="4">D36+E36</f>
        <v>0</v>
      </c>
      <c r="G36" s="160">
        <f>VLOOKUP("Loan Interest Rate",[1]Data!A2064:B3000,2,0)</f>
        <v>0</v>
      </c>
      <c r="H36" s="234">
        <f t="shared" si="1"/>
        <v>0</v>
      </c>
      <c r="I36" s="157" t="str">
        <f>VLOOKUP("Loan Interest Rate Type",[1]Data!A2064:B3000,2,0)</f>
        <v>VARIABLE</v>
      </c>
      <c r="J36" s="157" t="str">
        <f>VLOOKUP("Loan Status Description",[1]Data!A2064:B3000,2,0)</f>
        <v>NON-DEFAULTED, PAID IN FULL THROUGH CONSOLIDATION LOAN</v>
      </c>
      <c r="K36" s="158">
        <f>VLOOKUP("Loan Status Effective Date",[1]Data!A2064:B3000,2,0)</f>
        <v>38868</v>
      </c>
    </row>
    <row r="37" spans="1:11" s="157" customFormat="1" x14ac:dyDescent="0.35">
      <c r="A37" s="157" t="str">
        <f>VLOOKUP("Loan Type",[1]Data!A2133:B3000,2,0)</f>
        <v>STAFFORD UNSUBSIDIZED</v>
      </c>
      <c r="B37" s="158">
        <f>VLOOKUP("Loan Date",[1]Data!A2133:B3000,2,0)</f>
        <v>38205</v>
      </c>
      <c r="C37" s="159">
        <f>VLOOKUP("Loan Amount",[1]Data!A2133:B3000,2,0)</f>
        <v>1500</v>
      </c>
      <c r="D37" s="159">
        <f>VLOOKUP("Loan Outstanding Principal Balance",[1]Data!A2133:B3000,2,0)</f>
        <v>0</v>
      </c>
      <c r="E37" s="159">
        <f>VLOOKUP("Loan Outstanding Interest Balance",[1]Data!A2133:B3000,2,0)</f>
        <v>0</v>
      </c>
      <c r="F37" s="159">
        <f t="shared" si="4"/>
        <v>0</v>
      </c>
      <c r="G37" s="160">
        <f>VLOOKUP("Loan Interest Rate",[1]Data!A2133:B3000,2,0)</f>
        <v>0</v>
      </c>
      <c r="H37" s="234">
        <f t="shared" si="1"/>
        <v>0</v>
      </c>
      <c r="I37" s="157" t="str">
        <f>VLOOKUP("Loan Interest Rate Type",[1]Data!A2133:B3000,2,0)</f>
        <v>VARIABLE</v>
      </c>
      <c r="J37" s="157" t="str">
        <f>VLOOKUP("Loan Status Description",[1]Data!A2133:B3000,2,0)</f>
        <v>NON-DEFAULTED, PAID IN FULL THROUGH CONSOLIDATION LOAN</v>
      </c>
      <c r="K37" s="158">
        <f>VLOOKUP("Loan Status Effective Date",[1]Data!A2133:B3000,2,0)</f>
        <v>38868</v>
      </c>
    </row>
    <row r="38" spans="1:11" s="157" customFormat="1" x14ac:dyDescent="0.35">
      <c r="A38" s="157" t="str">
        <f>VLOOKUP("Loan Type",[1]Data!A2206:B3000,2,0)</f>
        <v>STAFFORD UNSUBSIDIZED</v>
      </c>
      <c r="B38" s="158">
        <f>VLOOKUP("Loan Date",[1]Data!A2206:B3000,2,0)</f>
        <v>38175</v>
      </c>
      <c r="C38" s="159">
        <f>VLOOKUP("Loan Amount",[1]Data!A2206:B3000,2,0)</f>
        <v>9000</v>
      </c>
      <c r="D38" s="159">
        <f>VLOOKUP("Loan Outstanding Principal Balance",[1]Data!A2206:B3000,2,0)</f>
        <v>0</v>
      </c>
      <c r="E38" s="159">
        <f>VLOOKUP("Loan Outstanding Interest Balance",[1]Data!A2206:B3000,2,0)</f>
        <v>0</v>
      </c>
      <c r="F38" s="159">
        <f t="shared" si="4"/>
        <v>0</v>
      </c>
      <c r="G38" s="160">
        <f>VLOOKUP("Loan Interest Rate",[1]Data!A2206:B3000,2,0)</f>
        <v>0</v>
      </c>
      <c r="H38" s="234">
        <f t="shared" si="1"/>
        <v>0</v>
      </c>
      <c r="I38" s="157" t="str">
        <f>VLOOKUP("Loan Interest Rate Type",[1]Data!A2206:B3000,2,0)</f>
        <v>VARIABLE</v>
      </c>
      <c r="J38" s="157" t="str">
        <f>VLOOKUP("Loan Status Description",[1]Data!A2206:B3000,2,0)</f>
        <v>NON-DEFAULTED, PAID IN FULL THROUGH CONSOLIDATION LOAN</v>
      </c>
      <c r="K38" s="158">
        <f>VLOOKUP("Loan Status Effective Date",[1]Data!A2206:B3000,2,0)</f>
        <v>38868</v>
      </c>
    </row>
    <row r="39" spans="1:11" s="157" customFormat="1" x14ac:dyDescent="0.35">
      <c r="A39" s="157" t="str">
        <f>VLOOKUP("Loan Type",[1]Data!A2279:B3000,2,0)</f>
        <v>STAFFORD SUBSIDIZED</v>
      </c>
      <c r="B39" s="158">
        <f>VLOOKUP("Loan Date",[1]Data!A2279:B3000,2,0)</f>
        <v>37847</v>
      </c>
      <c r="C39" s="159">
        <f>VLOOKUP("Loan Amount",[1]Data!A2279:B3000,2,0)</f>
        <v>5250</v>
      </c>
      <c r="D39" s="159">
        <f>VLOOKUP("Loan Outstanding Principal Balance",[1]Data!A2279:B3000,2,0)</f>
        <v>0</v>
      </c>
      <c r="E39" s="159">
        <f>VLOOKUP("Loan Outstanding Interest Balance",[1]Data!A2279:B3000,2,0)</f>
        <v>0</v>
      </c>
      <c r="F39" s="159">
        <f t="shared" si="4"/>
        <v>0</v>
      </c>
      <c r="G39" s="160">
        <f>VLOOKUP("Loan Interest Rate",[1]Data!A2279:B3000,2,0)</f>
        <v>0</v>
      </c>
      <c r="H39" s="234">
        <f t="shared" si="1"/>
        <v>0</v>
      </c>
      <c r="I39" s="157" t="str">
        <f>VLOOKUP("Loan Interest Rate Type",[1]Data!A2279:B3000,2,0)</f>
        <v>VARIABLE</v>
      </c>
      <c r="J39" s="157" t="str">
        <f>VLOOKUP("Loan Status Description",[1]Data!A2279:B3000,2,0)</f>
        <v>NON-DEFAULTED, PAID IN FULL THROUGH CONSOLIDATION LOAN</v>
      </c>
      <c r="K39" s="158">
        <f>VLOOKUP("Loan Status Effective Date",[1]Data!A2279:B3000,2,0)</f>
        <v>38868</v>
      </c>
    </row>
    <row r="40" spans="1:11" s="157" customFormat="1" x14ac:dyDescent="0.35">
      <c r="A40" s="157" t="str">
        <f>VLOOKUP("Loan Type",[1]Data!A2354:B3000,2,0)</f>
        <v>STAFFORD SUBSIDIZED</v>
      </c>
      <c r="B40" s="158">
        <f>VLOOKUP("Loan Date",[1]Data!A2354:B3000,2,0)</f>
        <v>37482</v>
      </c>
      <c r="C40" s="159">
        <f>VLOOKUP("Loan Amount",[1]Data!A2354:B3000,2,0)</f>
        <v>5500</v>
      </c>
      <c r="D40" s="159">
        <f>VLOOKUP("Loan Outstanding Principal Balance",[1]Data!A2354:B3000,2,0)</f>
        <v>0</v>
      </c>
      <c r="E40" s="159">
        <f>VLOOKUP("Loan Outstanding Interest Balance",[1]Data!A2354:B3000,2,0)</f>
        <v>0</v>
      </c>
      <c r="F40" s="159">
        <f t="shared" si="4"/>
        <v>0</v>
      </c>
      <c r="G40" s="160">
        <f>VLOOKUP("Loan Interest Rate",[1]Data!A2354:B3000,2,0)</f>
        <v>0</v>
      </c>
      <c r="H40" s="234">
        <f t="shared" si="1"/>
        <v>0</v>
      </c>
      <c r="I40" s="157" t="str">
        <f>VLOOKUP("Loan Interest Rate Type",[1]Data!A2354:B3000,2,0)</f>
        <v>VARIABLE</v>
      </c>
      <c r="J40" s="157" t="str">
        <f>VLOOKUP("Loan Status Description",[1]Data!A2354:B3000,2,0)</f>
        <v>NON-DEFAULTED, PAID IN FULL THROUGH CONSOLIDATION LOAN</v>
      </c>
      <c r="K40" s="158">
        <f>VLOOKUP("Loan Status Effective Date",[1]Data!A2354:B3000,2,0)</f>
        <v>38868</v>
      </c>
    </row>
    <row r="41" spans="1:11" s="157" customFormat="1" x14ac:dyDescent="0.35">
      <c r="A41" s="157" t="str">
        <f>VLOOKUP("Loan Type",[1]Data!A2429:B3000,2,0)</f>
        <v>STAFFORD SUBSIDIZED</v>
      </c>
      <c r="B41" s="158">
        <f>VLOOKUP("Loan Date",[1]Data!A2429:B3000,2,0)</f>
        <v>37110</v>
      </c>
      <c r="C41" s="159">
        <f>VLOOKUP("Loan Amount",[1]Data!A2429:B3000,2,0)</f>
        <v>3500</v>
      </c>
      <c r="D41" s="159">
        <f>VLOOKUP("Loan Outstanding Principal Balance",[1]Data!A2429:B3000,2,0)</f>
        <v>0</v>
      </c>
      <c r="E41" s="159">
        <f>VLOOKUP("Loan Outstanding Interest Balance",[1]Data!A2429:B3000,2,0)</f>
        <v>0</v>
      </c>
      <c r="F41" s="159">
        <f t="shared" si="4"/>
        <v>0</v>
      </c>
      <c r="G41" s="160">
        <f>VLOOKUP("Loan Interest Rate",[1]Data!A2429:B3000,2,0)</f>
        <v>0</v>
      </c>
      <c r="H41" s="234">
        <f t="shared" si="1"/>
        <v>0</v>
      </c>
      <c r="I41" s="157" t="str">
        <f>VLOOKUP("Loan Interest Rate Type",[1]Data!A2429:B3000,2,0)</f>
        <v>VARIABLE</v>
      </c>
      <c r="J41" s="157" t="str">
        <f>VLOOKUP("Loan Status Description",[1]Data!A2429:B3000,2,0)</f>
        <v>NON-DEFAULTED, PAID IN FULL THROUGH CONSOLIDATION LOAN</v>
      </c>
      <c r="K41" s="158">
        <f>VLOOKUP("Loan Status Effective Date",[1]Data!A2429:B3000,2,0)</f>
        <v>38868</v>
      </c>
    </row>
    <row r="42" spans="1:11" s="157" customFormat="1" x14ac:dyDescent="0.35">
      <c r="A42" s="157" t="str">
        <f>VLOOKUP("Loan Type",[1]Data!A2504:B3000,2,0)</f>
        <v>STAFFORD SUBSIDIZED</v>
      </c>
      <c r="B42" s="158">
        <f>VLOOKUP("Loan Date",[1]Data!A2504:B3000,2,0)</f>
        <v>37047</v>
      </c>
      <c r="C42" s="159">
        <f>VLOOKUP("Loan Amount",[1]Data!A2504:B3000,2,0)</f>
        <v>1750</v>
      </c>
      <c r="D42" s="159">
        <f>VLOOKUP("Loan Outstanding Principal Balance",[1]Data!A2504:B3000,2,0)</f>
        <v>0</v>
      </c>
      <c r="E42" s="159">
        <f>VLOOKUP("Loan Outstanding Interest Balance",[1]Data!A2504:B3000,2,0)</f>
        <v>0</v>
      </c>
      <c r="F42" s="159">
        <f t="shared" si="4"/>
        <v>0</v>
      </c>
      <c r="G42" s="160">
        <f>VLOOKUP("Loan Interest Rate",[1]Data!A2504:B3000,2,0)</f>
        <v>0</v>
      </c>
      <c r="H42" s="234">
        <f t="shared" si="1"/>
        <v>0</v>
      </c>
      <c r="I42" s="157" t="str">
        <f>VLOOKUP("Loan Interest Rate Type",[1]Data!A2504:B3000,2,0)</f>
        <v>VARIABLE</v>
      </c>
      <c r="J42" s="157" t="str">
        <f>VLOOKUP("Loan Status Description",[1]Data!A2504:B3000,2,0)</f>
        <v>NON-DEFAULTED, PAID IN FULL THROUGH CONSOLIDATION LOAN</v>
      </c>
      <c r="K42" s="158">
        <f>VLOOKUP("Loan Status Effective Date",[1]Data!A2504:B3000,2,0)</f>
        <v>38868</v>
      </c>
    </row>
    <row r="43" spans="1:11" s="157" customFormat="1" x14ac:dyDescent="0.35">
      <c r="A43" s="157" t="str">
        <f>VLOOKUP("Loan Type",[1]Data!A2577:B3000,2,0)</f>
        <v>STAFFORD SUBSIDIZED</v>
      </c>
      <c r="B43" s="158">
        <f>VLOOKUP("Loan Date",[1]Data!A2577:B3000,2,0)</f>
        <v>36755</v>
      </c>
      <c r="C43" s="159">
        <f>VLOOKUP("Loan Amount",[1]Data!A2577:B3000,2,0)</f>
        <v>3500</v>
      </c>
      <c r="D43" s="159">
        <f>VLOOKUP("Loan Outstanding Principal Balance",[1]Data!A2577:B3000,2,0)</f>
        <v>0</v>
      </c>
      <c r="E43" s="159">
        <f>VLOOKUP("Loan Outstanding Interest Balance",[1]Data!A2577:B3000,2,0)</f>
        <v>0</v>
      </c>
      <c r="F43" s="159">
        <f t="shared" si="4"/>
        <v>0</v>
      </c>
      <c r="G43" s="160">
        <f>VLOOKUP("Loan Interest Rate",[1]Data!A2577:B3000,2,0)</f>
        <v>0</v>
      </c>
      <c r="H43" s="234">
        <f t="shared" si="1"/>
        <v>0</v>
      </c>
      <c r="I43" s="157" t="str">
        <f>VLOOKUP("Loan Interest Rate Type",[1]Data!A2577:B3000,2,0)</f>
        <v>VARIABLE</v>
      </c>
      <c r="J43" s="157" t="str">
        <f>VLOOKUP("Loan Status Description",[1]Data!A2577:B3000,2,0)</f>
        <v>NON-DEFAULTED, PAID IN FULL THROUGH CONSOLIDATION LOAN</v>
      </c>
      <c r="K43" s="158">
        <f>VLOOKUP("Loan Status Effective Date",[1]Data!A2577:B3000,2,0)</f>
        <v>38868</v>
      </c>
    </row>
    <row r="44" spans="1:11" s="157" customFormat="1" x14ac:dyDescent="0.35">
      <c r="A44" s="157" t="str">
        <f>VLOOKUP("Loan Type",[1]Data!A2650:B3000,2,0)</f>
        <v>STAFFORD SUBSIDIZED</v>
      </c>
      <c r="B44" s="158">
        <f>VLOOKUP("Loan Date",[1]Data!A2650:B3000,2,0)</f>
        <v>36396</v>
      </c>
      <c r="C44" s="159">
        <f>VLOOKUP("Loan Amount",[1]Data!A2650:B3000,2,0)</f>
        <v>2625</v>
      </c>
      <c r="D44" s="159">
        <f>VLOOKUP("Loan Outstanding Principal Balance",[1]Data!A2650:B3000,2,0)</f>
        <v>0</v>
      </c>
      <c r="E44" s="159">
        <f>VLOOKUP("Loan Outstanding Interest Balance",[1]Data!A2650:B3000,2,0)</f>
        <v>0</v>
      </c>
      <c r="F44" s="159">
        <f t="shared" si="4"/>
        <v>0</v>
      </c>
      <c r="G44" s="160">
        <f>VLOOKUP("Loan Interest Rate",[1]Data!A2650:B3000,2,0)</f>
        <v>0</v>
      </c>
      <c r="H44" s="234">
        <f t="shared" si="1"/>
        <v>0</v>
      </c>
      <c r="I44" s="157" t="str">
        <f>VLOOKUP("Loan Interest Rate Type",[1]Data!A2650:B3000,2,0)</f>
        <v>VARIABLE</v>
      </c>
      <c r="J44" s="157" t="str">
        <f>VLOOKUP("Loan Status Description",[1]Data!A2650:B3000,2,0)</f>
        <v>NON-DEFAULTED, PAID IN FULL THROUGH CONSOLIDATION LOAN</v>
      </c>
      <c r="K44" s="158">
        <f>VLOOKUP("Loan Status Effective Date",[1]Data!A2650:B3000,2,0)</f>
        <v>38868</v>
      </c>
    </row>
    <row r="45" spans="1:11" s="157" customFormat="1" x14ac:dyDescent="0.35">
      <c r="A45" s="157" t="str">
        <f>VLOOKUP("Loan Type",[1]Data!A2728:B3000,2,0)</f>
        <v>STAFFORD SUBSIDIZED</v>
      </c>
      <c r="B45" s="158">
        <f>VLOOKUP("Loan Date",[1]Data!A2728:B3000,2,0)</f>
        <v>36012</v>
      </c>
      <c r="C45" s="159">
        <f>VLOOKUP("Loan Amount",[1]Data!A2728:B3000,2,0)</f>
        <v>2625</v>
      </c>
      <c r="D45" s="159">
        <f>VLOOKUP("Loan Outstanding Principal Balance",[1]Data!A2728:B3000,2,0)</f>
        <v>0</v>
      </c>
      <c r="E45" s="159">
        <f>VLOOKUP("Loan Outstanding Interest Balance",[1]Data!A2728:B3000,2,0)</f>
        <v>0</v>
      </c>
      <c r="F45" s="159">
        <f t="shared" si="4"/>
        <v>0</v>
      </c>
      <c r="G45" s="160">
        <f>VLOOKUP("Loan Interest Rate",[1]Data!A2728:B3000,2,0)</f>
        <v>0</v>
      </c>
      <c r="H45" s="234">
        <f t="shared" si="1"/>
        <v>0</v>
      </c>
      <c r="I45" s="157" t="str">
        <f>VLOOKUP("Loan Interest Rate Type",[1]Data!A2728:B3000,2,0)</f>
        <v>VARIABLE</v>
      </c>
      <c r="J45" s="157" t="str">
        <f>VLOOKUP("Loan Status Description",[1]Data!A2728:B3000,2,0)</f>
        <v>NON-DEFAULTED, PAID IN FULL THROUGH CONSOLIDATION LOAN</v>
      </c>
      <c r="K45" s="158">
        <f>VLOOKUP("Loan Status Effective Date",[1]Data!A2728:B3000,2,0)</f>
        <v>38868</v>
      </c>
    </row>
    <row r="46" spans="1:11" s="157" customFormat="1" x14ac:dyDescent="0.35">
      <c r="A46" s="157" t="s">
        <v>107</v>
      </c>
      <c r="B46" s="158">
        <v>38639</v>
      </c>
      <c r="C46" s="159">
        <v>5250</v>
      </c>
      <c r="D46" s="159">
        <v>0</v>
      </c>
      <c r="E46" s="159">
        <v>0</v>
      </c>
      <c r="F46" s="159">
        <v>0</v>
      </c>
      <c r="G46" s="160">
        <v>0</v>
      </c>
      <c r="H46" s="234">
        <v>0</v>
      </c>
      <c r="I46" s="157" t="s">
        <v>108</v>
      </c>
      <c r="J46" s="157" t="s">
        <v>109</v>
      </c>
      <c r="K46" s="158">
        <v>38868</v>
      </c>
    </row>
    <row r="47" spans="1:11" s="157" customFormat="1" x14ac:dyDescent="0.35">
      <c r="A47" s="157" t="s">
        <v>107</v>
      </c>
      <c r="B47" s="158">
        <v>38579</v>
      </c>
      <c r="C47" s="159">
        <v>4440</v>
      </c>
      <c r="D47" s="159">
        <v>0</v>
      </c>
      <c r="E47" s="159">
        <v>0</v>
      </c>
      <c r="F47" s="159">
        <v>0</v>
      </c>
      <c r="G47" s="160">
        <v>0</v>
      </c>
      <c r="H47" s="234">
        <v>0</v>
      </c>
      <c r="I47" s="157" t="s">
        <v>108</v>
      </c>
      <c r="J47" s="157" t="s">
        <v>110</v>
      </c>
      <c r="K47" s="158">
        <v>38754</v>
      </c>
    </row>
  </sheetData>
  <sheetProtection algorithmName="SHA-512" hashValue="fd+e4A27Fp8mYNVknRSXsB8iWbU5L5Hc3lHubBtCIALmlInX8gx2C1F8eMiaCvAMStoXvWwp09/Q6vJjxSMJgQ==" saltValue="ip1DRNIcfUm/JHjWpQ/1PA==" spinCount="100000" sheet="1" objects="1" scenarios="1" selectLockedCells="1" selectUnlockedCells="1"/>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5"/>
  <sheetViews>
    <sheetView topLeftCell="A96" zoomScaleNormal="100" zoomScalePageLayoutView="85" workbookViewId="0">
      <pane xSplit="5" topLeftCell="P1" activePane="topRight" state="frozen"/>
      <selection pane="topRight" activeCell="L137" sqref="L137"/>
    </sheetView>
  </sheetViews>
  <sheetFormatPr defaultColWidth="8.81640625" defaultRowHeight="15.5" x14ac:dyDescent="0.35"/>
  <cols>
    <col min="1" max="1" width="4.81640625" style="17" customWidth="1"/>
    <col min="2" max="2" width="21.26953125" style="1" customWidth="1"/>
    <col min="3" max="3" width="16.08984375" style="1" customWidth="1"/>
    <col min="4" max="5" width="15.6328125" style="1" customWidth="1"/>
    <col min="6" max="6" width="12.08984375" style="1" customWidth="1"/>
    <col min="7" max="8" width="11.7265625" style="1" bestFit="1" customWidth="1"/>
    <col min="9" max="9" width="11.81640625" style="1" bestFit="1" customWidth="1"/>
    <col min="10" max="10" width="13.81640625" style="1" bestFit="1" customWidth="1"/>
    <col min="11" max="11" width="13.08984375" style="1" bestFit="1" customWidth="1"/>
    <col min="12" max="12" width="13.81640625" style="1" bestFit="1" customWidth="1"/>
    <col min="13" max="14" width="12.08984375" style="1" bestFit="1" customWidth="1"/>
    <col min="15" max="15" width="13.81640625" style="1" bestFit="1" customWidth="1"/>
    <col min="16" max="16" width="13.08984375" style="1" bestFit="1" customWidth="1"/>
    <col min="17" max="17" width="10.1796875" style="1" bestFit="1" customWidth="1"/>
    <col min="18" max="18" width="13.08984375" style="1" bestFit="1" customWidth="1"/>
    <col min="19" max="21" width="10.1796875" style="1" bestFit="1" customWidth="1"/>
    <col min="22" max="23" width="15.26953125" style="1" bestFit="1" customWidth="1"/>
    <col min="24" max="24" width="35.36328125" style="1" customWidth="1"/>
    <col min="25" max="25" width="15.26953125" style="1" bestFit="1" customWidth="1"/>
    <col min="26" max="26" width="12.90625" style="1" bestFit="1" customWidth="1"/>
    <col min="27" max="28" width="15.26953125" style="1" bestFit="1" customWidth="1"/>
    <col min="29" max="35" width="14.08984375" style="1" bestFit="1" customWidth="1"/>
    <col min="36" max="120" width="8.81640625" style="1"/>
    <col min="121" max="121" width="8.81640625" style="1" customWidth="1"/>
    <col min="122" max="16384" width="8.81640625" style="1"/>
  </cols>
  <sheetData>
    <row r="1" spans="1:31" s="75" customFormat="1" x14ac:dyDescent="0.35">
      <c r="B1" s="236"/>
      <c r="C1" s="237" t="s">
        <v>8</v>
      </c>
      <c r="D1" s="238" t="s">
        <v>0</v>
      </c>
      <c r="E1" s="264" t="s">
        <v>117</v>
      </c>
      <c r="F1" s="79"/>
      <c r="G1" s="79"/>
      <c r="H1" s="79"/>
      <c r="I1" s="79"/>
      <c r="J1" s="79"/>
      <c r="K1" s="79"/>
      <c r="L1" s="79"/>
      <c r="M1" s="79"/>
      <c r="N1" s="79"/>
      <c r="O1" s="79"/>
      <c r="P1" s="49"/>
    </row>
    <row r="2" spans="1:31" x14ac:dyDescent="0.35">
      <c r="A2" s="29"/>
      <c r="B2" s="239" t="s">
        <v>20</v>
      </c>
      <c r="C2" s="172">
        <v>59322</v>
      </c>
      <c r="D2" s="173">
        <v>6.7900000000000002E-2</v>
      </c>
      <c r="E2" s="265">
        <f>SubsidizedBalance*SubRate</f>
        <v>4027.9638</v>
      </c>
      <c r="F2" s="64"/>
      <c r="G2" s="79"/>
      <c r="H2" s="79"/>
      <c r="I2" s="79"/>
      <c r="J2" s="79"/>
      <c r="K2" s="79"/>
      <c r="L2" s="79"/>
      <c r="M2" s="79"/>
      <c r="N2" s="79"/>
      <c r="O2" s="79"/>
      <c r="P2" s="28"/>
      <c r="Q2" s="28"/>
      <c r="R2" s="28"/>
      <c r="S2" s="28"/>
      <c r="T2" s="28"/>
      <c r="U2" s="28"/>
      <c r="V2" s="28"/>
    </row>
    <row r="3" spans="1:31" x14ac:dyDescent="0.35">
      <c r="A3" s="1"/>
      <c r="B3" s="239" t="s">
        <v>19</v>
      </c>
      <c r="C3" s="172">
        <v>131598</v>
      </c>
      <c r="D3" s="173">
        <v>0.06</v>
      </c>
      <c r="E3" s="265">
        <f>UnsubsidizedBalance*UnsubRate</f>
        <v>7895.88</v>
      </c>
      <c r="F3" s="79"/>
      <c r="G3" s="79"/>
      <c r="H3" s="79"/>
      <c r="I3" s="79"/>
      <c r="J3" s="79"/>
      <c r="K3" s="161"/>
      <c r="L3" s="161"/>
      <c r="M3" s="161"/>
      <c r="N3" s="161"/>
      <c r="O3" s="79"/>
      <c r="P3" s="28"/>
      <c r="Q3" s="28"/>
      <c r="R3" s="28"/>
      <c r="S3" s="28"/>
      <c r="T3" s="28"/>
      <c r="U3" s="28"/>
      <c r="V3" s="28"/>
    </row>
    <row r="4" spans="1:31" x14ac:dyDescent="0.35">
      <c r="A4" s="1"/>
      <c r="B4" s="239" t="s">
        <v>67</v>
      </c>
      <c r="C4" s="172">
        <v>334218</v>
      </c>
      <c r="D4" s="173">
        <v>8.4199999999999997E-2</v>
      </c>
      <c r="E4" s="265">
        <f>C4*D4</f>
        <v>28141.155599999998</v>
      </c>
      <c r="F4" s="79"/>
      <c r="G4" s="79"/>
      <c r="H4" s="79"/>
      <c r="I4" s="120"/>
      <c r="J4" s="120"/>
      <c r="K4" s="166"/>
      <c r="L4" s="166"/>
      <c r="M4" s="166"/>
      <c r="N4" s="166"/>
      <c r="O4" s="120"/>
      <c r="P4" s="120"/>
      <c r="Q4" s="120"/>
      <c r="R4" s="120"/>
      <c r="S4" s="28"/>
      <c r="T4" s="28"/>
      <c r="U4" s="28"/>
      <c r="V4" s="28"/>
    </row>
    <row r="5" spans="1:31" x14ac:dyDescent="0.35">
      <c r="A5" s="1"/>
      <c r="B5" s="239"/>
      <c r="C5" s="174"/>
      <c r="D5" s="175"/>
      <c r="E5" s="265"/>
      <c r="F5" s="79"/>
      <c r="G5" s="79"/>
      <c r="H5" s="79"/>
      <c r="I5" s="120"/>
      <c r="J5" s="120"/>
      <c r="K5" s="166"/>
      <c r="L5" s="166"/>
      <c r="M5" s="166"/>
      <c r="N5" s="166"/>
      <c r="O5" s="120"/>
      <c r="P5" s="120"/>
      <c r="Q5" s="120"/>
      <c r="R5" s="120"/>
      <c r="S5" s="28"/>
      <c r="T5" s="28"/>
      <c r="U5" s="28"/>
      <c r="V5" s="28"/>
    </row>
    <row r="6" spans="1:31" ht="16" thickBot="1" x14ac:dyDescent="0.4">
      <c r="A6" s="1"/>
      <c r="B6" s="240" t="s">
        <v>3</v>
      </c>
      <c r="C6" s="241">
        <f>SUM(C2,C3,C4)</f>
        <v>525138</v>
      </c>
      <c r="D6" s="242">
        <f>E6/Total_Balance</f>
        <v>7.6294230088091136E-2</v>
      </c>
      <c r="E6" s="266">
        <f>SUM(E2:E4)</f>
        <v>40064.999400000001</v>
      </c>
      <c r="F6" s="79"/>
      <c r="G6" s="161"/>
      <c r="H6" s="161"/>
      <c r="I6" s="120"/>
      <c r="J6" s="120"/>
      <c r="K6" s="166"/>
      <c r="L6" s="166"/>
      <c r="M6" s="166"/>
      <c r="N6" s="166"/>
      <c r="O6" s="120"/>
      <c r="P6" s="120"/>
      <c r="Q6" s="120"/>
      <c r="R6" s="120"/>
      <c r="S6" s="28"/>
      <c r="T6" s="28"/>
      <c r="U6" s="28"/>
      <c r="V6" s="28"/>
    </row>
    <row r="7" spans="1:31" hidden="1" x14ac:dyDescent="0.35">
      <c r="A7" s="1"/>
      <c r="B7" s="50" t="s">
        <v>1</v>
      </c>
      <c r="C7" s="31">
        <f>WeightedAverageRate</f>
        <v>7.6294230088091136E-2</v>
      </c>
      <c r="D7" s="51"/>
      <c r="F7" s="32"/>
      <c r="G7" s="163"/>
      <c r="H7" s="164"/>
      <c r="I7" s="120"/>
      <c r="J7" s="120"/>
      <c r="K7" s="166"/>
      <c r="L7" s="166"/>
      <c r="M7" s="166"/>
      <c r="N7" s="166"/>
      <c r="O7" s="120"/>
      <c r="P7" s="120"/>
      <c r="Q7" s="120"/>
      <c r="R7" s="121"/>
      <c r="S7" s="28"/>
      <c r="T7" s="28"/>
      <c r="U7" s="28"/>
      <c r="V7" s="28"/>
    </row>
    <row r="8" spans="1:31" hidden="1" x14ac:dyDescent="0.35">
      <c r="A8" s="1"/>
      <c r="B8" s="50" t="s">
        <v>2</v>
      </c>
      <c r="C8" s="33">
        <v>12</v>
      </c>
      <c r="D8" s="51"/>
      <c r="F8" s="32"/>
      <c r="G8" s="163"/>
      <c r="H8" s="164"/>
      <c r="I8" s="120"/>
      <c r="J8" s="120"/>
      <c r="K8" s="166"/>
      <c r="L8" s="166"/>
      <c r="M8" s="166"/>
      <c r="N8" s="166"/>
      <c r="O8" s="120"/>
      <c r="P8" s="120"/>
      <c r="Q8" s="120"/>
      <c r="R8" s="121"/>
      <c r="S8" s="28"/>
      <c r="T8" s="28"/>
      <c r="U8" s="28"/>
      <c r="V8" s="28"/>
    </row>
    <row r="9" spans="1:31" hidden="1" x14ac:dyDescent="0.35">
      <c r="A9" s="1"/>
      <c r="B9" s="50"/>
      <c r="C9" s="33"/>
      <c r="D9" s="51"/>
      <c r="F9" s="32"/>
      <c r="G9" s="32"/>
      <c r="H9" s="118"/>
      <c r="I9" s="120"/>
      <c r="J9" s="120"/>
      <c r="K9" s="166"/>
      <c r="L9" s="166"/>
      <c r="M9" s="166"/>
      <c r="N9" s="166"/>
      <c r="O9" s="120"/>
      <c r="P9" s="120"/>
      <c r="Q9" s="120"/>
      <c r="R9" s="121"/>
      <c r="S9" s="28"/>
      <c r="T9" s="28"/>
      <c r="U9" s="28"/>
      <c r="V9" s="28"/>
    </row>
    <row r="10" spans="1:31" ht="31.5" hidden="1" thickBot="1" x14ac:dyDescent="0.4">
      <c r="A10" s="1"/>
      <c r="B10" s="68" t="s">
        <v>68</v>
      </c>
      <c r="C10" s="177" t="s">
        <v>71</v>
      </c>
      <c r="D10" s="52" t="str">
        <f>IF(C10="IBR15","IBR15",IF(C10="PAYE","PAYE",IF(C10="IBR10","IBR10",IF(C10="REPAYE","REPAYE",IF(C10="","Which?")))))</f>
        <v>IBR15</v>
      </c>
      <c r="F10" s="32"/>
      <c r="G10" s="32"/>
      <c r="H10" s="119"/>
      <c r="I10" s="122"/>
      <c r="J10" s="122"/>
      <c r="K10" s="167"/>
      <c r="L10" s="167"/>
      <c r="M10" s="167"/>
      <c r="N10" s="167"/>
      <c r="O10" s="122"/>
      <c r="P10" s="122"/>
      <c r="Q10" s="122"/>
      <c r="R10" s="123"/>
      <c r="S10" s="28"/>
      <c r="T10" s="28"/>
      <c r="U10" s="28"/>
      <c r="V10" s="28"/>
    </row>
    <row r="11" spans="1:31" ht="46.5" hidden="1" x14ac:dyDescent="0.35">
      <c r="A11" s="1"/>
      <c r="B11" s="67" t="s">
        <v>70</v>
      </c>
      <c r="C11" s="65">
        <f>IF(C10="IBR15",0.15,IF(C10="PAYE",0.1,IF(C10="IBR10",0.1,IF(C10="REPAYE",0.1,IF(C10="","?")))))</f>
        <v>0.15</v>
      </c>
      <c r="D11" s="53"/>
      <c r="F11" s="32"/>
      <c r="G11" s="32"/>
      <c r="H11" s="32"/>
      <c r="I11" s="32"/>
      <c r="J11" s="32"/>
      <c r="K11" s="32"/>
      <c r="L11" s="32"/>
      <c r="M11" s="32"/>
      <c r="N11" s="32"/>
      <c r="O11" s="32"/>
      <c r="P11" s="28"/>
      <c r="Q11" s="28"/>
      <c r="R11" s="28"/>
      <c r="S11" s="28"/>
      <c r="T11" s="28"/>
      <c r="U11" s="28"/>
      <c r="V11" s="28"/>
      <c r="AE11" s="9"/>
    </row>
    <row r="12" spans="1:31" hidden="1" x14ac:dyDescent="0.35">
      <c r="A12" s="34"/>
      <c r="B12" s="2" t="s">
        <v>69</v>
      </c>
      <c r="C12" s="35" t="s">
        <v>47</v>
      </c>
      <c r="F12" s="32"/>
      <c r="G12" s="32"/>
      <c r="H12" s="32"/>
      <c r="I12" s="32"/>
      <c r="J12" s="32"/>
      <c r="K12" s="32"/>
      <c r="L12" s="32"/>
      <c r="M12" s="32"/>
      <c r="N12" s="32"/>
      <c r="O12" s="32"/>
      <c r="P12" s="28"/>
      <c r="Q12" s="28"/>
      <c r="R12" s="28"/>
      <c r="S12" s="28"/>
      <c r="T12" s="28"/>
      <c r="U12" s="28"/>
      <c r="V12" s="28"/>
      <c r="AE12" s="9"/>
    </row>
    <row r="13" spans="1:31" hidden="1" x14ac:dyDescent="0.35">
      <c r="A13" s="29"/>
      <c r="B13" s="2" t="s">
        <v>23</v>
      </c>
      <c r="C13" s="36"/>
      <c r="D13" s="37"/>
      <c r="F13" s="32"/>
      <c r="G13" s="32"/>
      <c r="H13" s="32"/>
      <c r="I13" s="32"/>
      <c r="J13" s="32"/>
      <c r="K13" s="32"/>
      <c r="L13" s="32"/>
      <c r="M13" s="32"/>
      <c r="N13" s="32"/>
      <c r="O13" s="32"/>
      <c r="P13" s="28"/>
      <c r="Q13" s="28"/>
      <c r="R13" s="28"/>
      <c r="S13" s="28"/>
      <c r="T13" s="28"/>
      <c r="U13" s="28"/>
      <c r="V13" s="28"/>
      <c r="AE13" s="9"/>
    </row>
    <row r="14" spans="1:31" hidden="1" x14ac:dyDescent="0.35">
      <c r="A14" s="1"/>
      <c r="B14" s="2" t="s">
        <v>24</v>
      </c>
      <c r="C14" s="36" t="s">
        <v>48</v>
      </c>
      <c r="F14" s="32"/>
      <c r="G14" s="32"/>
      <c r="H14" s="32"/>
      <c r="I14" s="32"/>
      <c r="J14" s="32"/>
      <c r="K14" s="32"/>
      <c r="L14" s="32"/>
      <c r="M14" s="32"/>
      <c r="N14" s="32"/>
      <c r="O14" s="32"/>
      <c r="P14" s="28"/>
      <c r="Q14" s="28"/>
      <c r="R14" s="28"/>
      <c r="S14" s="28"/>
      <c r="T14" s="28"/>
      <c r="U14" s="28"/>
      <c r="V14" s="28"/>
      <c r="AE14" s="9"/>
    </row>
    <row r="15" spans="1:31" hidden="1" x14ac:dyDescent="0.35">
      <c r="A15" s="1"/>
      <c r="B15" s="2" t="s">
        <v>25</v>
      </c>
      <c r="C15" s="36"/>
      <c r="F15" s="32"/>
      <c r="G15" s="32"/>
      <c r="H15" s="32"/>
      <c r="I15" s="32"/>
      <c r="J15" s="32"/>
      <c r="K15" s="32"/>
      <c r="L15" s="32"/>
      <c r="M15" s="32"/>
      <c r="N15" s="32"/>
      <c r="O15" s="32"/>
      <c r="P15" s="28"/>
      <c r="Q15" s="28"/>
      <c r="R15" s="28"/>
      <c r="S15" s="28"/>
      <c r="T15" s="28"/>
      <c r="U15" s="28"/>
      <c r="V15" s="28"/>
      <c r="AE15" s="9"/>
    </row>
    <row r="16" spans="1:31" hidden="1" x14ac:dyDescent="0.35">
      <c r="A16" s="1"/>
      <c r="B16" s="2" t="s">
        <v>26</v>
      </c>
      <c r="C16" s="36"/>
      <c r="F16" s="32"/>
      <c r="G16" s="32"/>
      <c r="H16" s="32"/>
      <c r="I16" s="32"/>
      <c r="J16" s="32"/>
      <c r="K16" s="32"/>
      <c r="L16" s="32"/>
      <c r="M16" s="32"/>
      <c r="N16" s="32"/>
      <c r="O16" s="32"/>
      <c r="P16" s="28"/>
      <c r="Q16" s="28"/>
      <c r="R16" s="28"/>
      <c r="S16" s="28"/>
      <c r="T16" s="28"/>
      <c r="U16" s="28"/>
      <c r="V16" s="28"/>
      <c r="AE16" s="9"/>
    </row>
    <row r="17" spans="1:31" hidden="1" x14ac:dyDescent="0.35">
      <c r="A17" s="1"/>
      <c r="B17" s="2" t="s">
        <v>27</v>
      </c>
      <c r="C17" s="36"/>
      <c r="F17" s="79"/>
      <c r="G17" s="79"/>
      <c r="H17" s="79"/>
      <c r="I17" s="79"/>
      <c r="J17" s="79"/>
      <c r="K17" s="79"/>
      <c r="L17" s="79"/>
      <c r="M17" s="79"/>
      <c r="N17" s="79"/>
      <c r="O17" s="79"/>
      <c r="P17" s="28"/>
      <c r="Q17" s="28"/>
      <c r="R17" s="28"/>
      <c r="S17" s="28"/>
      <c r="T17" s="28"/>
      <c r="U17" s="28"/>
      <c r="V17" s="28"/>
      <c r="AE17" s="9"/>
    </row>
    <row r="18" spans="1:31" hidden="1" x14ac:dyDescent="0.35">
      <c r="A18" s="1"/>
      <c r="B18" s="2"/>
      <c r="C18" s="3"/>
      <c r="F18" s="79"/>
      <c r="G18" s="79"/>
      <c r="H18" s="79"/>
      <c r="I18" s="79"/>
      <c r="J18" s="79"/>
      <c r="K18" s="79"/>
      <c r="L18" s="79"/>
      <c r="M18" s="79"/>
      <c r="N18" s="79"/>
      <c r="O18" s="79"/>
      <c r="P18" s="28"/>
      <c r="AE18" s="9"/>
    </row>
    <row r="19" spans="1:31" hidden="1" x14ac:dyDescent="0.35">
      <c r="A19" s="1"/>
      <c r="B19" s="2"/>
      <c r="C19" s="4"/>
      <c r="D19" s="30"/>
      <c r="F19" s="79"/>
      <c r="G19" s="79"/>
      <c r="H19" s="79"/>
      <c r="I19" s="79"/>
      <c r="J19" s="79"/>
      <c r="K19" s="79"/>
      <c r="L19" s="79"/>
      <c r="M19" s="79"/>
      <c r="N19" s="79"/>
      <c r="O19" s="79"/>
      <c r="P19" s="28"/>
      <c r="AE19" s="9"/>
    </row>
    <row r="20" spans="1:31" hidden="1" x14ac:dyDescent="0.35">
      <c r="A20" s="1"/>
      <c r="B20" s="2"/>
      <c r="C20" s="4"/>
      <c r="D20" s="30"/>
      <c r="F20" s="79"/>
      <c r="G20" s="79"/>
      <c r="H20" s="79"/>
      <c r="I20" s="79"/>
      <c r="J20" s="79"/>
      <c r="K20" s="79"/>
      <c r="L20" s="79"/>
      <c r="M20" s="79"/>
      <c r="N20" s="79"/>
      <c r="O20" s="79"/>
      <c r="P20" s="28"/>
      <c r="AE20" s="9"/>
    </row>
    <row r="21" spans="1:31" hidden="1" x14ac:dyDescent="0.35">
      <c r="A21" s="1"/>
      <c r="B21" s="2"/>
      <c r="C21" s="5"/>
      <c r="D21" s="30"/>
      <c r="F21" s="79"/>
      <c r="G21" s="79"/>
      <c r="H21" s="79"/>
      <c r="I21" s="79"/>
      <c r="J21" s="79"/>
      <c r="K21" s="79"/>
      <c r="L21" s="79"/>
      <c r="M21" s="79"/>
      <c r="N21" s="79"/>
      <c r="O21" s="79"/>
      <c r="P21" s="28"/>
      <c r="AE21" s="9"/>
    </row>
    <row r="22" spans="1:31" hidden="1" x14ac:dyDescent="0.35">
      <c r="A22" s="1"/>
      <c r="B22" s="2" t="s">
        <v>19</v>
      </c>
      <c r="C22" s="6">
        <f>SUM(C3,C4)</f>
        <v>465816</v>
      </c>
      <c r="D22" s="38">
        <f>((C3*D3)+(C4*D4))/C22</f>
        <v>7.7363241279818626E-2</v>
      </c>
      <c r="F22" s="79"/>
      <c r="G22" s="79"/>
      <c r="H22" s="79"/>
      <c r="I22" s="79"/>
      <c r="J22" s="79"/>
      <c r="K22" s="79"/>
      <c r="L22" s="79"/>
      <c r="M22" s="79"/>
      <c r="N22" s="79"/>
      <c r="O22" s="79"/>
      <c r="P22" s="28"/>
      <c r="AE22" s="9"/>
    </row>
    <row r="23" spans="1:31" hidden="1" x14ac:dyDescent="0.35">
      <c r="A23" s="1"/>
      <c r="B23" s="2"/>
      <c r="C23" s="6"/>
      <c r="F23" s="79"/>
      <c r="G23" s="79"/>
      <c r="H23" s="79"/>
      <c r="I23" s="79"/>
      <c r="J23" s="79"/>
      <c r="K23" s="79"/>
      <c r="L23" s="79"/>
      <c r="M23" s="79"/>
      <c r="N23" s="79"/>
      <c r="O23" s="79"/>
      <c r="P23" s="28"/>
      <c r="AE23" s="9"/>
    </row>
    <row r="24" spans="1:31" hidden="1" x14ac:dyDescent="0.35">
      <c r="A24" s="1"/>
      <c r="B24" s="2"/>
      <c r="C24" s="6"/>
      <c r="D24" s="38"/>
      <c r="F24" s="79"/>
      <c r="G24" s="79"/>
      <c r="H24" s="79"/>
      <c r="I24" s="79"/>
      <c r="J24" s="79"/>
      <c r="K24" s="79"/>
      <c r="L24" s="79"/>
      <c r="M24" s="79"/>
      <c r="N24" s="79"/>
      <c r="O24" s="79"/>
      <c r="P24" s="28"/>
      <c r="AE24" s="9"/>
    </row>
    <row r="25" spans="1:31" hidden="1" x14ac:dyDescent="0.35">
      <c r="A25" s="1"/>
      <c r="B25" s="2"/>
      <c r="C25" s="6"/>
      <c r="D25" s="38"/>
      <c r="F25" s="79"/>
      <c r="G25" s="79"/>
      <c r="H25" s="79"/>
      <c r="I25" s="79"/>
      <c r="J25" s="79"/>
      <c r="K25" s="79"/>
      <c r="L25" s="79"/>
      <c r="M25" s="79"/>
      <c r="N25" s="79"/>
      <c r="O25" s="79"/>
      <c r="P25" s="28"/>
      <c r="AE25" s="9"/>
    </row>
    <row r="26" spans="1:31" hidden="1" x14ac:dyDescent="0.35">
      <c r="A26" s="1"/>
      <c r="B26" s="2" t="s">
        <v>20</v>
      </c>
      <c r="C26" s="6">
        <f>C2</f>
        <v>59322</v>
      </c>
      <c r="D26" s="66">
        <f>D2</f>
        <v>6.7900000000000002E-2</v>
      </c>
      <c r="F26" s="79"/>
      <c r="G26" s="79"/>
      <c r="H26" s="79"/>
      <c r="I26" s="79"/>
      <c r="J26" s="79"/>
      <c r="K26" s="79"/>
      <c r="L26" s="79"/>
      <c r="M26" s="79"/>
      <c r="N26" s="79"/>
      <c r="O26" s="79"/>
      <c r="P26" s="28"/>
      <c r="AE26" s="9"/>
    </row>
    <row r="27" spans="1:31" hidden="1" x14ac:dyDescent="0.35">
      <c r="A27" s="1"/>
      <c r="B27" s="2"/>
      <c r="C27" s="3"/>
      <c r="D27" s="38"/>
      <c r="F27" s="79"/>
      <c r="G27" s="79"/>
      <c r="H27" s="79"/>
      <c r="I27" s="79"/>
      <c r="J27" s="79"/>
      <c r="K27" s="79"/>
      <c r="L27" s="79"/>
      <c r="M27" s="79"/>
      <c r="N27" s="79"/>
      <c r="O27" s="79"/>
      <c r="P27" s="28"/>
      <c r="AE27" s="9"/>
    </row>
    <row r="28" spans="1:31" hidden="1" x14ac:dyDescent="0.35">
      <c r="A28" s="1"/>
      <c r="B28" s="2" t="s">
        <v>16</v>
      </c>
      <c r="C28" s="7">
        <f>C22/(C22+C26)</f>
        <v>0.8870354078356546</v>
      </c>
      <c r="D28" s="38"/>
      <c r="F28" s="79"/>
      <c r="G28" s="79"/>
      <c r="H28" s="79"/>
      <c r="I28" s="79"/>
      <c r="J28" s="79"/>
      <c r="K28" s="79"/>
      <c r="L28" s="79"/>
      <c r="M28" s="79"/>
      <c r="N28" s="79"/>
      <c r="O28" s="79"/>
      <c r="P28" s="28"/>
      <c r="AE28" s="9"/>
    </row>
    <row r="29" spans="1:31" hidden="1" x14ac:dyDescent="0.35">
      <c r="A29" s="1"/>
      <c r="B29" s="2"/>
      <c r="C29" s="55"/>
      <c r="D29" s="38"/>
      <c r="F29" s="79"/>
      <c r="G29" s="79"/>
      <c r="H29" s="79"/>
      <c r="I29" s="79"/>
      <c r="J29" s="79"/>
      <c r="K29" s="79"/>
      <c r="L29" s="79"/>
      <c r="M29" s="79"/>
      <c r="N29" s="79"/>
      <c r="O29" s="79"/>
      <c r="P29" s="28"/>
      <c r="AE29" s="9"/>
    </row>
    <row r="30" spans="1:31" ht="16" thickBot="1" x14ac:dyDescent="0.4">
      <c r="A30" s="1"/>
      <c r="B30" s="2"/>
      <c r="C30" s="8"/>
      <c r="D30" s="8"/>
      <c r="F30" s="79"/>
      <c r="G30" s="79"/>
      <c r="H30" s="79"/>
      <c r="I30" s="79"/>
      <c r="J30" s="79"/>
      <c r="K30" s="79"/>
      <c r="L30" s="79"/>
      <c r="M30" s="79"/>
      <c r="N30" s="79"/>
      <c r="O30" s="79"/>
      <c r="P30" s="28"/>
      <c r="AE30" s="9"/>
    </row>
    <row r="31" spans="1:31" s="58" customFormat="1" x14ac:dyDescent="0.35">
      <c r="B31" s="124" t="s">
        <v>72</v>
      </c>
      <c r="C31" s="110" t="s">
        <v>9</v>
      </c>
      <c r="D31" s="110" t="s">
        <v>18</v>
      </c>
      <c r="E31" s="125" t="s">
        <v>40</v>
      </c>
      <c r="F31" s="59"/>
      <c r="G31" s="59"/>
      <c r="H31" s="59"/>
      <c r="I31" s="59"/>
      <c r="J31" s="59"/>
      <c r="K31" s="59"/>
      <c r="L31" s="59"/>
      <c r="M31" s="59"/>
      <c r="N31" s="59"/>
      <c r="O31" s="59"/>
      <c r="P31" s="59"/>
      <c r="AE31" s="60"/>
    </row>
    <row r="32" spans="1:31" hidden="1" x14ac:dyDescent="0.35">
      <c r="A32" s="29"/>
      <c r="B32" s="126" t="str">
        <f>IF(C10="IBR15","IBR15",IF(C10="PAYE","PAYE",IF(C10="IBR10","IBR10",IF(C10="REPAYE","REPAYE"))))</f>
        <v>IBR15</v>
      </c>
      <c r="C32" s="127">
        <f>IF(C6=0,"",IF(F96="Ineligible","Ineligible",SUM(F82:AD82)))</f>
        <v>1332040.3634617561</v>
      </c>
      <c r="D32" s="78">
        <f>IF(C6=0,"",IF(F96="Ineligible","Ineligible",IF(C11=0.1,Y85,IF(C11=0.15,AD85,"ERROR"))))</f>
        <v>15263.022108681456</v>
      </c>
      <c r="E32" s="128">
        <f>AA71</f>
        <v>5036.7972958648807</v>
      </c>
      <c r="F32" s="79"/>
      <c r="G32" s="79"/>
      <c r="H32" s="79"/>
      <c r="I32" s="79"/>
      <c r="J32" s="187"/>
      <c r="K32" s="79"/>
      <c r="L32" s="79"/>
      <c r="M32" s="79"/>
      <c r="N32" s="79"/>
      <c r="O32" s="79"/>
      <c r="P32" s="28"/>
      <c r="Z32" s="10"/>
      <c r="AE32" s="9"/>
    </row>
    <row r="33" spans="1:35" hidden="1" x14ac:dyDescent="0.35">
      <c r="A33" s="1"/>
      <c r="B33" s="126" t="s">
        <v>90</v>
      </c>
      <c r="C33" s="127">
        <f>IF(C6=0,"",IF(F99="Ineligible","Ineligible",SUM(F87:Y87)))</f>
        <v>643375.11458254047</v>
      </c>
      <c r="D33" s="78">
        <f>IF(C6=0,"",IF(F99="Ineligible","Ineligible",Y93))</f>
        <v>657790.43736535602</v>
      </c>
      <c r="E33" s="128">
        <f>IF(C6=0,"",IF(F99="Ineligible","Ineligible",Z71))</f>
        <v>260485.01319668099</v>
      </c>
      <c r="F33" s="79"/>
      <c r="G33" s="79"/>
      <c r="H33" s="79"/>
      <c r="I33" s="79"/>
      <c r="J33" s="188"/>
      <c r="K33" s="79"/>
      <c r="L33" s="79"/>
      <c r="M33" s="79"/>
      <c r="N33" s="79"/>
      <c r="O33" s="79"/>
      <c r="P33" s="39"/>
      <c r="Q33" s="40"/>
      <c r="R33" s="40"/>
      <c r="S33" s="40"/>
      <c r="T33" s="40"/>
      <c r="U33" s="40"/>
      <c r="V33" s="40"/>
      <c r="W33" s="40"/>
      <c r="X33" s="40"/>
      <c r="Y33" s="40"/>
      <c r="Z33" s="81"/>
      <c r="AA33" s="40"/>
      <c r="AB33" s="40"/>
      <c r="AC33" s="40"/>
      <c r="AD33" s="40"/>
      <c r="AE33" s="41"/>
      <c r="AF33" s="40"/>
      <c r="AG33" s="40"/>
      <c r="AH33" s="40"/>
      <c r="AI33" s="40"/>
    </row>
    <row r="34" spans="1:35" hidden="1" x14ac:dyDescent="0.35">
      <c r="A34" s="1"/>
      <c r="B34" s="126" t="s">
        <v>41</v>
      </c>
      <c r="C34" s="127">
        <f>NPV(0.025,F87:Y87)</f>
        <v>479760.78551246051</v>
      </c>
      <c r="D34" s="78">
        <f>IF(C6=0,"",IF(F99="Ineligible","Ineligible",NPV(0.025,0,0,0,0,0,0,0,0,0,0,0,0,0,0,0,0,0,0,0,Y93)))</f>
        <v>401430.39041447855</v>
      </c>
      <c r="E34" s="128">
        <f>IF(C6=0,"",IF(F99="Ineligible","Ineligible",NPV(0.025,F71:Z71)))</f>
        <v>155089.20449183759</v>
      </c>
      <c r="F34" s="79"/>
      <c r="G34" s="79"/>
      <c r="H34" s="79"/>
      <c r="I34" s="79"/>
      <c r="J34" s="188"/>
      <c r="K34" s="79"/>
      <c r="L34" s="79"/>
      <c r="M34" s="79"/>
      <c r="N34" s="79"/>
      <c r="O34" s="79"/>
      <c r="P34" s="39"/>
      <c r="Q34" s="40"/>
      <c r="R34" s="40"/>
      <c r="S34" s="40"/>
      <c r="T34" s="40"/>
      <c r="U34" s="40"/>
      <c r="V34" s="40"/>
      <c r="W34" s="40"/>
      <c r="X34" s="40"/>
      <c r="Y34" s="40"/>
      <c r="Z34" s="40"/>
      <c r="AA34" s="40"/>
      <c r="AB34" s="40"/>
      <c r="AC34" s="40"/>
      <c r="AD34" s="40"/>
      <c r="AE34" s="41"/>
      <c r="AF34" s="40"/>
      <c r="AG34" s="40"/>
      <c r="AH34" s="40"/>
      <c r="AI34" s="40"/>
    </row>
    <row r="35" spans="1:35" hidden="1" x14ac:dyDescent="0.35">
      <c r="A35" s="1"/>
      <c r="B35" s="126" t="s">
        <v>74</v>
      </c>
      <c r="C35" s="127">
        <f>IF(C6=0,"",IF(F99="Ineligible","Ineligible",SUM(F87:O87)))</f>
        <v>245757.21607847032</v>
      </c>
      <c r="D35" s="129">
        <f>PAYE_PSLF</f>
        <v>654758.34186942619</v>
      </c>
      <c r="E35" s="128" t="s">
        <v>50</v>
      </c>
      <c r="F35" s="79"/>
      <c r="G35" s="79"/>
      <c r="H35" s="79"/>
      <c r="I35" s="79"/>
      <c r="J35" s="188"/>
      <c r="K35" s="79"/>
      <c r="L35" s="79"/>
      <c r="M35" s="79"/>
      <c r="N35" s="79"/>
      <c r="O35" s="79"/>
      <c r="P35" s="39"/>
      <c r="Q35" s="40"/>
      <c r="R35" s="40"/>
      <c r="S35" s="40"/>
      <c r="T35" s="40"/>
      <c r="U35" s="40"/>
      <c r="V35" s="40"/>
      <c r="W35" s="40"/>
      <c r="X35" s="40"/>
      <c r="Y35" s="40"/>
      <c r="Z35" s="40"/>
      <c r="AA35" s="40"/>
      <c r="AB35" s="40"/>
      <c r="AC35" s="40"/>
      <c r="AD35" s="40"/>
      <c r="AE35" s="41"/>
      <c r="AF35" s="40"/>
      <c r="AG35" s="40"/>
      <c r="AH35" s="40"/>
      <c r="AI35" s="40"/>
    </row>
    <row r="36" spans="1:35" x14ac:dyDescent="0.35">
      <c r="A36" s="1"/>
      <c r="B36" s="126" t="s">
        <v>73</v>
      </c>
      <c r="C36" s="127">
        <f>IF(C7=0,"",IF(F100="Ineligible","Ineligible",SUM(F82:O82)))</f>
        <v>368635.82411770552</v>
      </c>
      <c r="D36" s="78">
        <f>IF(C7=0,"",IF(F100="Ineligible","Ineligible",O85))</f>
        <v>548698.70977790037</v>
      </c>
      <c r="E36" s="128" t="s">
        <v>50</v>
      </c>
      <c r="F36" s="79"/>
      <c r="G36" s="79"/>
      <c r="H36" s="79"/>
      <c r="I36" s="79"/>
      <c r="J36" s="187"/>
      <c r="K36" s="79"/>
      <c r="L36" s="79"/>
      <c r="M36" s="79"/>
      <c r="N36" s="79"/>
      <c r="O36" s="79"/>
      <c r="P36" s="39"/>
      <c r="Q36" s="40"/>
      <c r="R36" s="40"/>
      <c r="S36" s="40"/>
      <c r="T36" s="40"/>
      <c r="U36" s="40"/>
      <c r="V36" s="40"/>
      <c r="W36" s="40"/>
      <c r="X36" s="40"/>
      <c r="Y36" s="40"/>
      <c r="Z36" s="40"/>
      <c r="AA36" s="40"/>
      <c r="AB36" s="40"/>
      <c r="AC36" s="40"/>
      <c r="AD36" s="40"/>
      <c r="AE36" s="41"/>
      <c r="AF36" s="40"/>
      <c r="AG36" s="40"/>
      <c r="AH36" s="40"/>
      <c r="AI36" s="40"/>
    </row>
    <row r="37" spans="1:35" hidden="1" x14ac:dyDescent="0.35">
      <c r="A37" s="1"/>
      <c r="B37" s="130" t="s">
        <v>34</v>
      </c>
      <c r="C37" s="83">
        <f>IF(C6=0,"",SUM(F109:O109)*12)</f>
        <v>752281.2523748331</v>
      </c>
      <c r="D37" s="191" t="s">
        <v>87</v>
      </c>
      <c r="E37" s="192" t="s">
        <v>87</v>
      </c>
      <c r="F37" s="56"/>
      <c r="G37" s="56"/>
      <c r="H37" s="42"/>
      <c r="I37" s="42"/>
      <c r="J37" s="189"/>
      <c r="K37" s="42"/>
      <c r="L37" s="42"/>
      <c r="M37" s="42"/>
      <c r="N37" s="42"/>
      <c r="O37" s="42"/>
      <c r="P37" s="11"/>
      <c r="Q37" s="11"/>
      <c r="R37" s="11"/>
      <c r="S37" s="11"/>
      <c r="T37" s="11"/>
      <c r="U37" s="11"/>
      <c r="V37" s="11"/>
      <c r="W37" s="11"/>
      <c r="X37" s="11"/>
      <c r="Y37" s="11"/>
      <c r="Z37" s="11"/>
      <c r="AA37" s="11"/>
      <c r="AB37" s="11"/>
      <c r="AC37" s="11"/>
      <c r="AD37" s="11"/>
      <c r="AE37" s="11"/>
      <c r="AF37" s="11"/>
      <c r="AG37" s="11"/>
      <c r="AH37" s="11"/>
      <c r="AI37" s="11"/>
    </row>
    <row r="38" spans="1:35" hidden="1" x14ac:dyDescent="0.35">
      <c r="A38" s="1"/>
      <c r="B38" s="126" t="s">
        <v>21</v>
      </c>
      <c r="C38" s="83">
        <f>IF(C6=0,"",SUM(F105:AI105)*12)</f>
        <v>1115547.5616862779</v>
      </c>
      <c r="D38" s="191" t="s">
        <v>87</v>
      </c>
      <c r="E38" s="192" t="s">
        <v>87</v>
      </c>
      <c r="F38" s="56"/>
      <c r="G38" s="56"/>
      <c r="H38" s="79"/>
      <c r="I38" s="79"/>
      <c r="J38" s="188"/>
      <c r="K38" s="79"/>
      <c r="L38" s="79"/>
      <c r="M38" s="79"/>
      <c r="N38" s="79"/>
      <c r="O38" s="79"/>
      <c r="P38" s="11"/>
      <c r="Q38" s="11"/>
      <c r="R38" s="11"/>
      <c r="S38" s="11"/>
      <c r="T38" s="11"/>
      <c r="U38" s="11"/>
      <c r="V38" s="11"/>
      <c r="W38" s="11"/>
      <c r="X38" s="11"/>
      <c r="Y38" s="11"/>
      <c r="Z38" s="11"/>
      <c r="AA38" s="11"/>
      <c r="AB38" s="11"/>
      <c r="AC38" s="11"/>
      <c r="AD38" s="11"/>
      <c r="AE38" s="11"/>
      <c r="AF38" s="11"/>
      <c r="AG38" s="11"/>
      <c r="AH38" s="11"/>
      <c r="AI38" s="11"/>
    </row>
    <row r="39" spans="1:35" hidden="1" x14ac:dyDescent="0.35">
      <c r="A39" s="1"/>
      <c r="B39" s="126" t="s">
        <v>42</v>
      </c>
      <c r="C39" s="83">
        <f>IF(C6=0,"",NPV(0.025,F106:AI106))</f>
        <v>822130.72772737755</v>
      </c>
      <c r="D39" s="191" t="s">
        <v>87</v>
      </c>
      <c r="E39" s="192" t="s">
        <v>87</v>
      </c>
      <c r="F39" s="79"/>
      <c r="G39" s="79"/>
      <c r="H39" s="79"/>
      <c r="I39" s="79"/>
      <c r="J39" s="188"/>
      <c r="K39" s="79"/>
      <c r="L39" s="79"/>
      <c r="M39" s="79"/>
      <c r="N39" s="79"/>
      <c r="O39" s="79"/>
      <c r="P39" s="11"/>
      <c r="Q39" s="11"/>
      <c r="R39" s="11"/>
      <c r="S39" s="11"/>
      <c r="T39" s="11"/>
      <c r="U39" s="11"/>
      <c r="V39" s="11"/>
      <c r="W39" s="11"/>
      <c r="X39" s="11"/>
      <c r="Y39" s="11"/>
      <c r="Z39" s="11"/>
      <c r="AA39" s="11"/>
      <c r="AB39" s="11"/>
      <c r="AC39" s="11"/>
      <c r="AD39" s="11"/>
      <c r="AE39" s="11"/>
      <c r="AF39" s="11"/>
      <c r="AG39" s="11"/>
      <c r="AH39" s="11"/>
      <c r="AI39" s="11"/>
    </row>
    <row r="40" spans="1:35" hidden="1" x14ac:dyDescent="0.35">
      <c r="A40" s="1"/>
      <c r="B40" s="130" t="s">
        <v>22</v>
      </c>
      <c r="C40" s="83">
        <f>IF(C6=0,"",IF(K115="N/A","N/A",SUM(F115:AI115)*12))</f>
        <v>1221599.6455305279</v>
      </c>
      <c r="D40" s="191" t="s">
        <v>87</v>
      </c>
      <c r="E40" s="192" t="s">
        <v>87</v>
      </c>
      <c r="F40" s="57"/>
      <c r="G40" s="57"/>
      <c r="H40" s="79"/>
      <c r="I40" s="79"/>
      <c r="J40" s="188"/>
      <c r="K40" s="79"/>
      <c r="L40" s="79"/>
      <c r="M40" s="79"/>
      <c r="N40" s="79"/>
      <c r="O40" s="79"/>
      <c r="P40" s="11"/>
      <c r="Q40" s="11"/>
      <c r="R40" s="11"/>
      <c r="S40" s="11"/>
      <c r="T40" s="11"/>
      <c r="U40" s="11"/>
      <c r="V40" s="11"/>
      <c r="W40" s="11"/>
      <c r="X40" s="11"/>
      <c r="Y40" s="11"/>
      <c r="Z40" s="11"/>
      <c r="AA40" s="11"/>
      <c r="AB40" s="11"/>
      <c r="AC40" s="11"/>
      <c r="AD40" s="11"/>
      <c r="AE40" s="11"/>
      <c r="AF40" s="11"/>
      <c r="AG40" s="11"/>
      <c r="AH40" s="11"/>
      <c r="AI40" s="11"/>
    </row>
    <row r="41" spans="1:35" hidden="1" x14ac:dyDescent="0.35">
      <c r="A41" s="1"/>
      <c r="B41" s="126" t="s">
        <v>88</v>
      </c>
      <c r="C41" s="83">
        <f>IF(C6=0,"",IF(K115="N/A","N/A",SUM(F127:Y127)*12))</f>
        <v>643375.11458254047</v>
      </c>
      <c r="D41" s="78">
        <f>IF(C6=0,"",IF(F99="Ineligible","Ineligible",Y126))</f>
        <v>599019.65351528884</v>
      </c>
      <c r="E41" s="128">
        <f>AB71</f>
        <v>237211.78279205438</v>
      </c>
      <c r="F41" s="79"/>
      <c r="G41" s="79"/>
      <c r="H41" s="79"/>
      <c r="I41" s="79"/>
      <c r="J41" s="188"/>
      <c r="K41" s="79"/>
      <c r="L41" s="79"/>
      <c r="M41" s="79"/>
      <c r="N41" s="79"/>
      <c r="O41" s="79"/>
      <c r="P41" s="11"/>
      <c r="Q41" s="11"/>
      <c r="R41" s="11"/>
      <c r="S41" s="11"/>
      <c r="T41" s="11"/>
      <c r="U41" s="11"/>
      <c r="V41" s="11"/>
      <c r="W41" s="11"/>
      <c r="X41" s="11"/>
      <c r="Y41" s="11"/>
      <c r="Z41" s="82"/>
      <c r="AA41" s="11"/>
      <c r="AB41" s="11"/>
      <c r="AC41" s="11"/>
      <c r="AD41" s="11"/>
      <c r="AE41" s="11"/>
      <c r="AF41" s="11"/>
      <c r="AG41" s="11"/>
      <c r="AH41" s="11"/>
      <c r="AI41" s="11"/>
    </row>
    <row r="42" spans="1:35" ht="16" thickBot="1" x14ac:dyDescent="0.4">
      <c r="A42" s="1"/>
      <c r="B42" s="132" t="s">
        <v>85</v>
      </c>
      <c r="C42" s="111">
        <f>IF(C6=0,"",IF(K115="N/A","N/A",SUM(F127:O127)*12))</f>
        <v>245757.21607847034</v>
      </c>
      <c r="D42" s="104">
        <f>O126</f>
        <v>597503.60576732387</v>
      </c>
      <c r="E42" s="105" t="s">
        <v>50</v>
      </c>
      <c r="G42" s="15"/>
      <c r="H42" s="15"/>
      <c r="I42" s="15"/>
      <c r="J42" s="190"/>
      <c r="K42" s="15"/>
      <c r="L42" s="15"/>
      <c r="M42" s="15"/>
      <c r="N42" s="15"/>
      <c r="O42" s="15"/>
      <c r="P42" s="11"/>
      <c r="Q42" s="11"/>
      <c r="R42" s="11"/>
      <c r="S42" s="11"/>
      <c r="T42" s="11"/>
      <c r="U42" s="11"/>
      <c r="V42" s="11"/>
      <c r="W42" s="11"/>
      <c r="X42" s="11"/>
      <c r="Y42" s="11"/>
      <c r="Z42" s="11"/>
      <c r="AA42" s="11"/>
      <c r="AB42" s="11"/>
      <c r="AC42" s="11"/>
      <c r="AD42" s="11"/>
      <c r="AE42" s="11"/>
      <c r="AF42" s="11"/>
      <c r="AG42" s="11"/>
      <c r="AH42" s="11"/>
      <c r="AI42" s="11"/>
    </row>
    <row r="43" spans="1:35" ht="16" hidden="1" thickBot="1" x14ac:dyDescent="0.4">
      <c r="A43" s="1"/>
      <c r="B43" s="132" t="s">
        <v>89</v>
      </c>
      <c r="C43" s="111">
        <f>IF(C6=0,"",IF(K115="N/A","N/A",SUM(F127:AD127)*12))</f>
        <v>891391.70674912143</v>
      </c>
      <c r="D43" s="108">
        <f>AD126</f>
        <v>575173.85593199835</v>
      </c>
      <c r="E43" s="133">
        <f>AC71</f>
        <v>227768.84694907136</v>
      </c>
      <c r="F43" s="15"/>
      <c r="G43" s="15"/>
      <c r="H43" s="15"/>
      <c r="I43" s="15"/>
      <c r="J43" s="190"/>
      <c r="K43" s="15"/>
      <c r="L43" s="15"/>
      <c r="M43" s="15"/>
      <c r="N43" s="15"/>
      <c r="O43" s="15"/>
      <c r="P43" s="11"/>
      <c r="Q43" s="11"/>
      <c r="R43" s="11"/>
      <c r="S43" s="11"/>
      <c r="T43" s="11"/>
      <c r="U43" s="11"/>
      <c r="V43" s="11"/>
      <c r="W43" s="11"/>
      <c r="X43" s="11"/>
      <c r="Y43" s="11"/>
      <c r="Z43" s="82"/>
      <c r="AA43" s="11"/>
      <c r="AB43" s="11"/>
      <c r="AC43" s="11"/>
      <c r="AD43" s="11"/>
      <c r="AE43" s="11"/>
      <c r="AF43" s="11"/>
      <c r="AG43" s="11"/>
      <c r="AH43" s="11"/>
      <c r="AI43" s="11"/>
    </row>
    <row r="44" spans="1:35" x14ac:dyDescent="0.35">
      <c r="A44" s="1"/>
      <c r="B44" s="12"/>
      <c r="C44" s="13"/>
      <c r="D44" s="14"/>
      <c r="F44" s="15"/>
      <c r="G44" s="15"/>
      <c r="H44" s="15"/>
      <c r="I44" s="15"/>
      <c r="J44" s="15"/>
      <c r="K44" s="15"/>
      <c r="L44" s="15"/>
      <c r="M44" s="15"/>
      <c r="N44" s="15"/>
      <c r="O44" s="15"/>
      <c r="P44" s="11"/>
      <c r="Q44" s="11"/>
      <c r="R44" s="11"/>
      <c r="S44" s="11"/>
      <c r="T44" s="11"/>
      <c r="U44" s="11"/>
      <c r="V44" s="11"/>
      <c r="W44" s="11"/>
      <c r="X44" s="11"/>
      <c r="Y44" s="11"/>
      <c r="Z44" s="11"/>
      <c r="AA44" s="11"/>
      <c r="AB44" s="11"/>
      <c r="AC44" s="11"/>
      <c r="AD44" s="11"/>
      <c r="AE44" s="11"/>
      <c r="AF44" s="11"/>
      <c r="AG44" s="11"/>
      <c r="AH44" s="11"/>
      <c r="AI44" s="11"/>
    </row>
    <row r="45" spans="1:35" hidden="1" x14ac:dyDescent="0.35">
      <c r="A45" s="1"/>
      <c r="B45" s="12"/>
      <c r="C45" s="13"/>
      <c r="D45" s="14"/>
      <c r="F45" s="15"/>
      <c r="G45" s="15"/>
      <c r="H45" s="15"/>
      <c r="I45" s="15"/>
      <c r="J45" s="15"/>
      <c r="K45" s="15"/>
      <c r="L45" s="15"/>
      <c r="M45" s="15"/>
      <c r="N45" s="15"/>
      <c r="O45" s="15"/>
      <c r="P45" s="11"/>
      <c r="Q45" s="11"/>
      <c r="R45" s="11"/>
      <c r="S45" s="11"/>
      <c r="T45" s="11"/>
      <c r="U45" s="11"/>
      <c r="V45" s="11"/>
      <c r="W45" s="11"/>
      <c r="X45" s="11"/>
      <c r="Y45" s="11"/>
      <c r="Z45" s="11"/>
      <c r="AA45" s="11"/>
      <c r="AB45" s="11"/>
      <c r="AC45" s="11"/>
      <c r="AD45" s="11"/>
      <c r="AE45" s="11"/>
      <c r="AF45" s="11"/>
      <c r="AG45" s="11"/>
      <c r="AH45" s="11"/>
      <c r="AI45" s="11"/>
    </row>
    <row r="46" spans="1:35" hidden="1" x14ac:dyDescent="0.35">
      <c r="A46" s="1"/>
      <c r="B46" s="12"/>
      <c r="C46" s="16"/>
      <c r="D46" s="14"/>
      <c r="F46" s="15"/>
      <c r="G46" s="15"/>
      <c r="H46" s="15"/>
      <c r="I46" s="15"/>
      <c r="J46" s="15"/>
      <c r="K46" s="15"/>
      <c r="L46" s="15"/>
      <c r="M46" s="15"/>
      <c r="N46" s="15"/>
      <c r="O46" s="15"/>
      <c r="P46" s="11"/>
      <c r="Q46" s="11"/>
      <c r="R46" s="11"/>
      <c r="S46" s="11"/>
      <c r="T46" s="11"/>
      <c r="U46" s="11"/>
      <c r="V46" s="11"/>
      <c r="W46" s="11"/>
      <c r="X46" s="11"/>
      <c r="Y46" s="11"/>
      <c r="Z46" s="11"/>
      <c r="AA46" s="11"/>
      <c r="AB46" s="11"/>
      <c r="AC46" s="11"/>
      <c r="AD46" s="11"/>
      <c r="AE46" s="11"/>
      <c r="AF46" s="11"/>
      <c r="AG46" s="11"/>
      <c r="AH46" s="11"/>
      <c r="AI46" s="11"/>
    </row>
    <row r="47" spans="1:35" hidden="1" x14ac:dyDescent="0.35">
      <c r="B47" s="2"/>
      <c r="C47" s="43"/>
      <c r="D47" s="14"/>
      <c r="G47" s="15"/>
      <c r="H47" s="15"/>
      <c r="I47" s="15"/>
      <c r="J47" s="15"/>
      <c r="K47" s="15"/>
      <c r="L47" s="15"/>
      <c r="M47" s="15"/>
      <c r="N47" s="15"/>
      <c r="O47" s="15"/>
      <c r="P47" s="11"/>
      <c r="Q47" s="11"/>
      <c r="R47" s="11"/>
      <c r="S47" s="11"/>
      <c r="T47" s="11"/>
      <c r="U47" s="11"/>
      <c r="V47" s="11"/>
      <c r="W47" s="11"/>
      <c r="X47" s="11"/>
      <c r="Y47" s="11"/>
      <c r="Z47" s="11"/>
      <c r="AA47" s="11"/>
      <c r="AB47" s="11"/>
      <c r="AC47" s="11"/>
      <c r="AD47" s="11"/>
      <c r="AE47" s="11"/>
      <c r="AF47" s="11"/>
      <c r="AG47" s="11"/>
      <c r="AH47" s="11"/>
      <c r="AI47" s="11"/>
    </row>
    <row r="48" spans="1:35" hidden="1" x14ac:dyDescent="0.35">
      <c r="A48" s="1"/>
      <c r="B48" s="44"/>
      <c r="C48" s="43"/>
      <c r="D48" s="14"/>
      <c r="F48" s="15"/>
      <c r="G48" s="15"/>
      <c r="H48" s="15"/>
      <c r="I48" s="15"/>
      <c r="J48" s="15"/>
      <c r="K48" s="15"/>
      <c r="L48" s="15"/>
      <c r="M48" s="15"/>
      <c r="N48" s="15"/>
      <c r="O48" s="15"/>
      <c r="P48" s="40"/>
      <c r="Q48" s="40"/>
      <c r="R48" s="40"/>
      <c r="S48" s="40"/>
      <c r="T48" s="40"/>
      <c r="U48" s="40"/>
      <c r="V48" s="40"/>
      <c r="W48" s="40"/>
      <c r="X48" s="40"/>
      <c r="Y48" s="40"/>
      <c r="Z48" s="40"/>
      <c r="AA48" s="40"/>
      <c r="AB48" s="40"/>
      <c r="AC48" s="40"/>
      <c r="AD48" s="40"/>
      <c r="AE48" s="41"/>
      <c r="AF48" s="40"/>
      <c r="AG48" s="40"/>
      <c r="AH48" s="40"/>
      <c r="AI48" s="40"/>
    </row>
    <row r="49" spans="1:35" hidden="1" x14ac:dyDescent="0.35">
      <c r="A49" s="1"/>
      <c r="B49" s="44"/>
      <c r="C49" s="43"/>
      <c r="D49" s="14"/>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1"/>
      <c r="AF49" s="40"/>
      <c r="AG49" s="40"/>
      <c r="AH49" s="40"/>
      <c r="AI49" s="40"/>
    </row>
    <row r="50" spans="1:35" hidden="1" x14ac:dyDescent="0.35">
      <c r="A50" s="1"/>
      <c r="B50" s="44"/>
      <c r="C50" s="43"/>
      <c r="D50" s="14"/>
      <c r="G50" s="1" t="s">
        <v>60</v>
      </c>
      <c r="I50" s="61" t="s">
        <v>61</v>
      </c>
      <c r="AE50" s="9"/>
    </row>
    <row r="51" spans="1:35" hidden="1" x14ac:dyDescent="0.35">
      <c r="A51" s="1"/>
      <c r="B51" s="44" t="s">
        <v>58</v>
      </c>
      <c r="C51" s="43"/>
      <c r="D51" s="14"/>
      <c r="E51" s="1" t="s">
        <v>62</v>
      </c>
      <c r="F51" s="11">
        <v>68000</v>
      </c>
      <c r="G51" s="11">
        <f>F51*1.025</f>
        <v>69700</v>
      </c>
      <c r="H51" s="11">
        <f t="shared" ref="H51:W54" si="0">G51*1.025</f>
        <v>71442.5</v>
      </c>
      <c r="I51" s="11">
        <f t="shared" si="0"/>
        <v>73228.5625</v>
      </c>
      <c r="J51" s="11">
        <f t="shared" si="0"/>
        <v>75059.276562499988</v>
      </c>
      <c r="K51" s="11">
        <f t="shared" si="0"/>
        <v>76935.758476562478</v>
      </c>
      <c r="L51" s="11">
        <f t="shared" si="0"/>
        <v>78859.152438476536</v>
      </c>
      <c r="M51" s="11">
        <f t="shared" si="0"/>
        <v>80830.631249438447</v>
      </c>
      <c r="N51" s="11">
        <f t="shared" si="0"/>
        <v>82851.397030674401</v>
      </c>
      <c r="O51" s="11">
        <f t="shared" si="0"/>
        <v>84922.681956441258</v>
      </c>
      <c r="P51" s="11">
        <f t="shared" si="0"/>
        <v>87045.749005352278</v>
      </c>
      <c r="Q51" s="11">
        <f t="shared" si="0"/>
        <v>89221.89273048607</v>
      </c>
      <c r="R51" s="11">
        <f t="shared" si="0"/>
        <v>91452.44004874822</v>
      </c>
      <c r="S51" s="11">
        <f t="shared" si="0"/>
        <v>93738.751049966915</v>
      </c>
      <c r="T51" s="11">
        <f t="shared" si="0"/>
        <v>96082.219826216082</v>
      </c>
      <c r="U51" s="11">
        <f t="shared" si="0"/>
        <v>98484.275321871479</v>
      </c>
      <c r="V51" s="11">
        <f t="shared" si="0"/>
        <v>100946.38220491826</v>
      </c>
      <c r="W51" s="11">
        <f t="shared" si="0"/>
        <v>103470.04176004122</v>
      </c>
      <c r="X51" s="11">
        <f t="shared" ref="X51:AI54" si="1">W51*1.025</f>
        <v>106056.79280404224</v>
      </c>
      <c r="Y51" s="11">
        <f t="shared" si="1"/>
        <v>108708.21262414329</v>
      </c>
      <c r="Z51" s="11">
        <f t="shared" si="1"/>
        <v>111425.91793974685</v>
      </c>
      <c r="AA51" s="11">
        <f t="shared" si="1"/>
        <v>114211.56588824051</v>
      </c>
      <c r="AB51" s="11">
        <f t="shared" si="1"/>
        <v>117066.85503544651</v>
      </c>
      <c r="AC51" s="11">
        <f t="shared" si="1"/>
        <v>119993.52641133267</v>
      </c>
      <c r="AD51" s="11">
        <f t="shared" si="1"/>
        <v>122993.36457161598</v>
      </c>
      <c r="AE51" s="11">
        <f t="shared" si="1"/>
        <v>126068.19868590638</v>
      </c>
      <c r="AF51" s="11"/>
      <c r="AG51" s="11"/>
      <c r="AH51" s="11">
        <f t="shared" si="1"/>
        <v>0</v>
      </c>
      <c r="AI51" s="11">
        <f t="shared" si="1"/>
        <v>0</v>
      </c>
    </row>
    <row r="52" spans="1:35" hidden="1" x14ac:dyDescent="0.35">
      <c r="A52" s="1"/>
      <c r="B52" s="44"/>
      <c r="C52" s="43"/>
      <c r="D52" s="14"/>
      <c r="F52" s="11">
        <v>100000</v>
      </c>
      <c r="G52" s="11">
        <f>F52*1.025</f>
        <v>102499.99999999999</v>
      </c>
      <c r="H52" s="11">
        <f t="shared" si="0"/>
        <v>105062.49999999997</v>
      </c>
      <c r="I52" s="11">
        <f t="shared" si="0"/>
        <v>107689.06249999996</v>
      </c>
      <c r="J52" s="11">
        <f t="shared" si="0"/>
        <v>110381.28906249994</v>
      </c>
      <c r="K52" s="11">
        <f t="shared" si="0"/>
        <v>113140.82128906243</v>
      </c>
      <c r="L52" s="11">
        <f t="shared" si="0"/>
        <v>115969.34182128898</v>
      </c>
      <c r="M52" s="11">
        <f t="shared" si="0"/>
        <v>118868.5753668212</v>
      </c>
      <c r="N52" s="11">
        <f t="shared" si="0"/>
        <v>121840.28975099172</v>
      </c>
      <c r="O52" s="11">
        <f t="shared" si="0"/>
        <v>124886.29699476651</v>
      </c>
      <c r="P52" s="11">
        <f t="shared" si="0"/>
        <v>128008.45441963566</v>
      </c>
      <c r="Q52" s="11">
        <f t="shared" si="0"/>
        <v>131208.66578012652</v>
      </c>
      <c r="R52" s="11">
        <f t="shared" si="0"/>
        <v>134488.88242462967</v>
      </c>
      <c r="S52" s="11">
        <f t="shared" si="0"/>
        <v>137851.10448524539</v>
      </c>
      <c r="T52" s="11">
        <f t="shared" si="0"/>
        <v>141297.38209737651</v>
      </c>
      <c r="U52" s="11">
        <f t="shared" si="0"/>
        <v>144829.81664981091</v>
      </c>
      <c r="V52" s="11">
        <f t="shared" si="0"/>
        <v>148450.56206605615</v>
      </c>
      <c r="W52" s="11">
        <f t="shared" si="0"/>
        <v>152161.82611770753</v>
      </c>
      <c r="X52" s="11">
        <f t="shared" si="1"/>
        <v>155965.87177065021</v>
      </c>
      <c r="Y52" s="11">
        <f t="shared" si="1"/>
        <v>159865.01856491645</v>
      </c>
      <c r="Z52" s="11">
        <f t="shared" si="1"/>
        <v>163861.64402903934</v>
      </c>
      <c r="AA52" s="11">
        <f t="shared" si="1"/>
        <v>167958.1851297653</v>
      </c>
      <c r="AB52" s="11">
        <f t="shared" si="1"/>
        <v>172157.13975800943</v>
      </c>
      <c r="AC52" s="11">
        <f t="shared" si="1"/>
        <v>176461.06825195966</v>
      </c>
      <c r="AD52" s="11">
        <f t="shared" si="1"/>
        <v>180872.59495825865</v>
      </c>
      <c r="AE52" s="11">
        <f t="shared" si="1"/>
        <v>185394.40983221511</v>
      </c>
      <c r="AF52" s="11"/>
      <c r="AG52" s="11"/>
      <c r="AH52" s="11">
        <f t="shared" si="1"/>
        <v>0</v>
      </c>
      <c r="AI52" s="11">
        <f t="shared" si="1"/>
        <v>0</v>
      </c>
    </row>
    <row r="53" spans="1:35" hidden="1" x14ac:dyDescent="0.35">
      <c r="A53" s="1"/>
      <c r="B53" s="44" t="s">
        <v>57</v>
      </c>
      <c r="C53" s="43"/>
      <c r="D53" s="14"/>
      <c r="F53" s="11">
        <v>150000</v>
      </c>
      <c r="G53" s="11">
        <f>F53*1.025</f>
        <v>153750</v>
      </c>
      <c r="H53" s="11">
        <f t="shared" si="0"/>
        <v>157593.75</v>
      </c>
      <c r="I53" s="11">
        <f t="shared" si="0"/>
        <v>161533.59375</v>
      </c>
      <c r="J53" s="11">
        <f t="shared" si="0"/>
        <v>165571.93359375</v>
      </c>
      <c r="K53" s="11">
        <f t="shared" si="0"/>
        <v>169711.23193359372</v>
      </c>
      <c r="L53" s="11">
        <f t="shared" si="0"/>
        <v>173954.01273193356</v>
      </c>
      <c r="M53" s="11">
        <f t="shared" si="0"/>
        <v>178302.86305023188</v>
      </c>
      <c r="N53" s="11">
        <f t="shared" si="0"/>
        <v>182760.43462648767</v>
      </c>
      <c r="O53" s="11">
        <f t="shared" si="0"/>
        <v>187329.44549214985</v>
      </c>
      <c r="P53" s="11">
        <f t="shared" si="0"/>
        <v>192012.68162945358</v>
      </c>
      <c r="Q53" s="11">
        <f t="shared" si="0"/>
        <v>196812.9986701899</v>
      </c>
      <c r="R53" s="11">
        <f t="shared" si="0"/>
        <v>201733.32363694464</v>
      </c>
      <c r="S53" s="11">
        <f t="shared" si="0"/>
        <v>206776.65672786825</v>
      </c>
      <c r="T53" s="11">
        <f t="shared" si="0"/>
        <v>211946.07314606494</v>
      </c>
      <c r="U53" s="11">
        <f t="shared" si="0"/>
        <v>217244.72497471655</v>
      </c>
      <c r="V53" s="11">
        <f t="shared" si="0"/>
        <v>222675.84309908445</v>
      </c>
      <c r="W53" s="11">
        <f t="shared" si="0"/>
        <v>228242.73917656153</v>
      </c>
      <c r="X53" s="11">
        <f t="shared" si="1"/>
        <v>233948.80765597554</v>
      </c>
      <c r="Y53" s="11">
        <f t="shared" si="1"/>
        <v>239797.52784737491</v>
      </c>
      <c r="Z53" s="11">
        <f t="shared" si="1"/>
        <v>245792.46604355925</v>
      </c>
      <c r="AA53" s="11">
        <f t="shared" si="1"/>
        <v>251937.27769464822</v>
      </c>
      <c r="AB53" s="11">
        <f t="shared" si="1"/>
        <v>258235.7096370144</v>
      </c>
      <c r="AC53" s="11">
        <f t="shared" si="1"/>
        <v>264691.60237793974</v>
      </c>
      <c r="AD53" s="11">
        <f t="shared" si="1"/>
        <v>271308.89243738819</v>
      </c>
      <c r="AE53" s="11">
        <f t="shared" si="1"/>
        <v>278091.61474832287</v>
      </c>
      <c r="AF53" s="11"/>
      <c r="AG53" s="11"/>
      <c r="AH53" s="11">
        <f t="shared" si="1"/>
        <v>0</v>
      </c>
      <c r="AI53" s="11">
        <f t="shared" si="1"/>
        <v>0</v>
      </c>
    </row>
    <row r="54" spans="1:35" hidden="1" x14ac:dyDescent="0.35">
      <c r="A54" s="1"/>
      <c r="B54" s="44" t="s">
        <v>59</v>
      </c>
      <c r="C54" s="43"/>
      <c r="D54" s="14"/>
      <c r="F54" s="11">
        <v>200000</v>
      </c>
      <c r="G54" s="11">
        <f>F54*1.025</f>
        <v>204999.99999999997</v>
      </c>
      <c r="H54" s="11">
        <f t="shared" si="0"/>
        <v>210124.99999999994</v>
      </c>
      <c r="I54" s="11">
        <f t="shared" si="0"/>
        <v>215378.12499999991</v>
      </c>
      <c r="J54" s="11">
        <f t="shared" si="0"/>
        <v>220762.57812499988</v>
      </c>
      <c r="K54" s="11">
        <f t="shared" si="0"/>
        <v>226281.64257812485</v>
      </c>
      <c r="L54" s="11">
        <f t="shared" si="0"/>
        <v>231938.68364257796</v>
      </c>
      <c r="M54" s="11">
        <f t="shared" si="0"/>
        <v>237737.1507336424</v>
      </c>
      <c r="N54" s="11">
        <f t="shared" si="0"/>
        <v>243680.57950198345</v>
      </c>
      <c r="O54" s="11">
        <f t="shared" si="0"/>
        <v>249772.59398953302</v>
      </c>
      <c r="P54" s="11">
        <f t="shared" si="0"/>
        <v>256016.90883927132</v>
      </c>
      <c r="Q54" s="11">
        <f t="shared" si="0"/>
        <v>262417.33156025305</v>
      </c>
      <c r="R54" s="11">
        <f t="shared" si="0"/>
        <v>268977.76484925934</v>
      </c>
      <c r="S54" s="11">
        <f t="shared" si="0"/>
        <v>275702.20897049078</v>
      </c>
      <c r="T54" s="11">
        <f t="shared" si="0"/>
        <v>282594.76419475302</v>
      </c>
      <c r="U54" s="11">
        <f t="shared" si="0"/>
        <v>289659.63329962181</v>
      </c>
      <c r="V54" s="11">
        <f t="shared" si="0"/>
        <v>296901.12413211231</v>
      </c>
      <c r="W54" s="11">
        <f t="shared" si="0"/>
        <v>304323.65223541507</v>
      </c>
      <c r="X54" s="11">
        <f t="shared" si="1"/>
        <v>311931.74354130041</v>
      </c>
      <c r="Y54" s="11">
        <f t="shared" si="1"/>
        <v>319730.0371298329</v>
      </c>
      <c r="Z54" s="11">
        <f t="shared" si="1"/>
        <v>327723.28805807867</v>
      </c>
      <c r="AA54" s="11">
        <f t="shared" si="1"/>
        <v>335916.37025953061</v>
      </c>
      <c r="AB54" s="11">
        <f t="shared" si="1"/>
        <v>344314.27951601887</v>
      </c>
      <c r="AC54" s="11">
        <f t="shared" si="1"/>
        <v>352922.13650391932</v>
      </c>
      <c r="AD54" s="11">
        <f t="shared" si="1"/>
        <v>361745.18991651729</v>
      </c>
      <c r="AE54" s="11">
        <f t="shared" si="1"/>
        <v>370788.81966443022</v>
      </c>
      <c r="AF54" s="11"/>
      <c r="AG54" s="11"/>
      <c r="AH54" s="11">
        <f t="shared" si="1"/>
        <v>0</v>
      </c>
      <c r="AI54" s="11">
        <f t="shared" si="1"/>
        <v>0</v>
      </c>
    </row>
    <row r="55" spans="1:35" hidden="1" x14ac:dyDescent="0.35">
      <c r="A55" s="1"/>
      <c r="B55" s="44"/>
      <c r="C55" s="43"/>
      <c r="D55" s="14"/>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row>
    <row r="56" spans="1:35" ht="139.5" hidden="1" x14ac:dyDescent="0.35">
      <c r="A56" s="1"/>
      <c r="B56" s="178" t="s">
        <v>63</v>
      </c>
      <c r="C56" s="43"/>
      <c r="D56" s="14"/>
      <c r="E56" s="1" t="s">
        <v>35</v>
      </c>
      <c r="F56" s="11">
        <v>6100</v>
      </c>
      <c r="G56" s="11">
        <v>6252.4999999999991</v>
      </c>
      <c r="H56" s="11">
        <v>6408.8124999999982</v>
      </c>
      <c r="I56" s="11">
        <v>6569.0328124999978</v>
      </c>
      <c r="J56" s="11">
        <v>6733.2586328124971</v>
      </c>
      <c r="K56" s="11">
        <v>6901.5900986328088</v>
      </c>
      <c r="L56" s="11">
        <v>7074.129851098628</v>
      </c>
      <c r="M56" s="11">
        <v>7250.9830973760927</v>
      </c>
      <c r="N56" s="11">
        <v>7432.2576748104948</v>
      </c>
      <c r="O56" s="11">
        <v>7618.0641166807563</v>
      </c>
      <c r="P56" s="11">
        <v>7808.5157195977745</v>
      </c>
      <c r="Q56" s="11">
        <v>8003.7286125877181</v>
      </c>
      <c r="R56" s="11">
        <v>8203.8218279024095</v>
      </c>
      <c r="S56" s="11">
        <v>8408.9173735999684</v>
      </c>
      <c r="T56" s="11">
        <v>8619.1403079399661</v>
      </c>
      <c r="U56" s="11">
        <v>8834.6188156384651</v>
      </c>
      <c r="V56" s="11">
        <v>9055.4842860294266</v>
      </c>
      <c r="W56" s="11">
        <v>9281.8713931801612</v>
      </c>
      <c r="X56" s="11">
        <v>9513.9181780096642</v>
      </c>
      <c r="Y56" s="11">
        <v>9751.7661324599048</v>
      </c>
      <c r="Z56" s="11">
        <v>9995.5602857714021</v>
      </c>
      <c r="AA56" s="11"/>
      <c r="AB56" s="11"/>
      <c r="AC56" s="11"/>
      <c r="AD56" s="11"/>
      <c r="AE56" s="11"/>
      <c r="AF56" s="11"/>
      <c r="AG56" s="11"/>
      <c r="AH56" s="11"/>
      <c r="AI56" s="11"/>
    </row>
    <row r="57" spans="1:35" hidden="1" x14ac:dyDescent="0.35">
      <c r="A57" s="1"/>
      <c r="B57" s="44"/>
      <c r="C57" s="43"/>
      <c r="D57" s="14"/>
      <c r="E57" s="1" t="s">
        <v>36</v>
      </c>
      <c r="F57" s="11">
        <v>3900</v>
      </c>
      <c r="G57" s="11">
        <v>3997.4999999999995</v>
      </c>
      <c r="H57" s="11">
        <v>4097.4374999999991</v>
      </c>
      <c r="I57" s="11">
        <v>4199.8734374999985</v>
      </c>
      <c r="J57" s="11">
        <v>4304.8702734374983</v>
      </c>
      <c r="K57" s="11">
        <v>4412.4920302734354</v>
      </c>
      <c r="L57" s="11">
        <v>4522.804331030271</v>
      </c>
      <c r="M57" s="11">
        <v>4635.8744393060269</v>
      </c>
      <c r="N57" s="11">
        <v>4751.7713002886776</v>
      </c>
      <c r="O57" s="11">
        <v>4870.5655827958944</v>
      </c>
      <c r="P57" s="11">
        <v>4992.329722365791</v>
      </c>
      <c r="Q57" s="11">
        <v>5117.1379654249349</v>
      </c>
      <c r="R57" s="11">
        <v>5245.0664145605579</v>
      </c>
      <c r="S57" s="11">
        <v>5376.1930749245712</v>
      </c>
      <c r="T57" s="11">
        <v>5510.5979017976852</v>
      </c>
      <c r="U57" s="11">
        <v>5648.3628493426268</v>
      </c>
      <c r="V57" s="11">
        <v>5789.5719205761916</v>
      </c>
      <c r="W57" s="11">
        <v>5934.3112185905957</v>
      </c>
      <c r="X57" s="11">
        <v>6082.6689990553605</v>
      </c>
      <c r="Y57" s="11">
        <v>6234.7357240317442</v>
      </c>
      <c r="Z57" s="11">
        <v>6390.6041171325369</v>
      </c>
      <c r="AA57" s="11"/>
      <c r="AB57" s="11"/>
      <c r="AC57" s="11"/>
      <c r="AD57" s="11"/>
      <c r="AE57" s="11"/>
      <c r="AF57" s="11"/>
      <c r="AG57" s="11"/>
      <c r="AH57" s="11"/>
      <c r="AI57" s="11"/>
    </row>
    <row r="58" spans="1:35" hidden="1" x14ac:dyDescent="0.35">
      <c r="A58" s="1"/>
      <c r="B58" s="44"/>
      <c r="C58" s="43"/>
      <c r="D58" s="14"/>
      <c r="E58" s="1" t="s">
        <v>37</v>
      </c>
      <c r="F58" s="11">
        <v>10000</v>
      </c>
      <c r="G58" s="11">
        <v>10250</v>
      </c>
      <c r="H58" s="11">
        <v>10506.249999999998</v>
      </c>
      <c r="I58" s="11">
        <v>10768.906249999996</v>
      </c>
      <c r="J58" s="11">
        <v>11038.128906249995</v>
      </c>
      <c r="K58" s="11">
        <v>11314.082128906244</v>
      </c>
      <c r="L58" s="11">
        <v>11596.9341821289</v>
      </c>
      <c r="M58" s="11">
        <v>11886.857536682121</v>
      </c>
      <c r="N58" s="11">
        <v>12184.028975099172</v>
      </c>
      <c r="O58" s="11">
        <v>12488.629699476651</v>
      </c>
      <c r="P58" s="11">
        <v>12800.845441963565</v>
      </c>
      <c r="Q58" s="11">
        <v>13120.866578012654</v>
      </c>
      <c r="R58" s="11">
        <v>13448.888242462968</v>
      </c>
      <c r="S58" s="11">
        <v>13785.110448524541</v>
      </c>
      <c r="T58" s="11">
        <v>14129.738209737654</v>
      </c>
      <c r="U58" s="11">
        <v>14482.981664981095</v>
      </c>
      <c r="V58" s="11">
        <v>14845.056206605621</v>
      </c>
      <c r="W58" s="11">
        <v>15216.182611770761</v>
      </c>
      <c r="X58" s="11">
        <v>15596.587177065028</v>
      </c>
      <c r="Y58" s="11">
        <v>15986.501856491652</v>
      </c>
      <c r="Z58" s="11">
        <v>16386.164402903942</v>
      </c>
      <c r="AA58" s="11"/>
      <c r="AB58" s="11"/>
      <c r="AC58" s="11"/>
      <c r="AD58" s="11"/>
      <c r="AE58" s="11"/>
      <c r="AF58" s="11"/>
      <c r="AG58" s="11"/>
      <c r="AH58" s="11"/>
      <c r="AI58" s="11"/>
    </row>
    <row r="59" spans="1:35" hidden="1" x14ac:dyDescent="0.35">
      <c r="A59" s="1"/>
      <c r="B59" s="44"/>
      <c r="C59" s="43"/>
      <c r="D59" s="14"/>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row>
    <row r="60" spans="1:35" hidden="1" x14ac:dyDescent="0.35">
      <c r="A60" s="1"/>
      <c r="B60" s="44"/>
      <c r="C60" s="43"/>
      <c r="D60" s="14"/>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row>
    <row r="61" spans="1:35" hidden="1" x14ac:dyDescent="0.35">
      <c r="A61" s="1"/>
      <c r="B61" s="44"/>
      <c r="C61" s="43"/>
      <c r="D61" s="14"/>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row>
    <row r="62" spans="1:35" hidden="1" x14ac:dyDescent="0.35">
      <c r="A62" s="1"/>
      <c r="B62" s="44"/>
      <c r="C62" s="43"/>
      <c r="D62" s="14"/>
      <c r="E62" s="179">
        <v>0</v>
      </c>
      <c r="F62" s="8">
        <v>0</v>
      </c>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row>
    <row r="63" spans="1:35" hidden="1" x14ac:dyDescent="0.35">
      <c r="A63" s="1"/>
      <c r="B63" s="44"/>
      <c r="C63" s="43"/>
      <c r="D63" s="14"/>
      <c r="E63" s="179">
        <v>0.1</v>
      </c>
      <c r="F63" s="8">
        <v>8925</v>
      </c>
      <c r="G63" s="11">
        <v>9148.125</v>
      </c>
      <c r="H63" s="11">
        <v>9376.828125</v>
      </c>
      <c r="I63" s="11">
        <v>9611.2488281249989</v>
      </c>
      <c r="J63" s="11">
        <v>9851.5300488281227</v>
      </c>
      <c r="K63" s="11">
        <v>10097.818300048824</v>
      </c>
      <c r="L63" s="11">
        <v>10350.263757550045</v>
      </c>
      <c r="M63" s="11">
        <v>10609.020351488794</v>
      </c>
      <c r="N63" s="11">
        <v>10874.245860276013</v>
      </c>
      <c r="O63" s="11">
        <v>11146.102006782912</v>
      </c>
      <c r="P63" s="11">
        <v>11424.754556952485</v>
      </c>
      <c r="Q63" s="11">
        <v>11710.373420876296</v>
      </c>
      <c r="R63" s="11">
        <v>12003.132756398203</v>
      </c>
      <c r="S63" s="11">
        <v>12303.211075308158</v>
      </c>
      <c r="T63" s="11">
        <v>12610.791352190861</v>
      </c>
      <c r="U63" s="11">
        <v>12926.061135995631</v>
      </c>
      <c r="V63" s="11">
        <v>13249.21266439552</v>
      </c>
      <c r="W63" s="11">
        <v>13580.442981005406</v>
      </c>
      <c r="X63" s="11">
        <v>13919.954055530539</v>
      </c>
      <c r="Y63" s="11">
        <v>14267.952906918801</v>
      </c>
      <c r="Z63" s="11">
        <v>14624.651729591769</v>
      </c>
      <c r="AA63" s="11"/>
      <c r="AB63" s="11"/>
      <c r="AC63" s="11"/>
      <c r="AD63" s="11"/>
      <c r="AE63" s="11"/>
      <c r="AF63" s="11"/>
      <c r="AG63" s="11"/>
      <c r="AH63" s="11"/>
      <c r="AI63" s="11"/>
    </row>
    <row r="64" spans="1:35" hidden="1" x14ac:dyDescent="0.35">
      <c r="A64" s="1"/>
      <c r="B64" s="44"/>
      <c r="C64" s="43"/>
      <c r="D64" s="14"/>
      <c r="E64" s="179">
        <v>0.15</v>
      </c>
      <c r="F64" s="8">
        <v>36250</v>
      </c>
      <c r="G64" s="11">
        <v>37156.25</v>
      </c>
      <c r="H64" s="11">
        <v>38085.15625</v>
      </c>
      <c r="I64" s="11">
        <v>39037.28515625</v>
      </c>
      <c r="J64" s="11">
        <v>40013.21728515625</v>
      </c>
      <c r="K64" s="11">
        <v>41013.547717285153</v>
      </c>
      <c r="L64" s="11">
        <v>42038.886410217281</v>
      </c>
      <c r="M64" s="11">
        <v>43089.858570472708</v>
      </c>
      <c r="N64" s="11">
        <v>44167.105034734523</v>
      </c>
      <c r="O64" s="11">
        <v>45271.282660602883</v>
      </c>
      <c r="P64" s="11">
        <v>46403.064727117948</v>
      </c>
      <c r="Q64" s="11">
        <v>47563.141345295895</v>
      </c>
      <c r="R64" s="11">
        <v>48752.219878928285</v>
      </c>
      <c r="S64" s="11">
        <v>49971.025375901489</v>
      </c>
      <c r="T64" s="11">
        <v>51220.301010299023</v>
      </c>
      <c r="U64" s="11">
        <v>52500.808535556491</v>
      </c>
      <c r="V64" s="11">
        <v>53813.328748945401</v>
      </c>
      <c r="W64" s="11">
        <v>55158.661967669032</v>
      </c>
      <c r="X64" s="11">
        <v>56537.62851686075</v>
      </c>
      <c r="Y64" s="11">
        <v>57951.069229782261</v>
      </c>
      <c r="Z64" s="11">
        <v>59399.845960526814</v>
      </c>
      <c r="AA64" s="11"/>
      <c r="AB64" s="11"/>
      <c r="AC64" s="11"/>
      <c r="AD64" s="11"/>
      <c r="AE64" s="11"/>
      <c r="AF64" s="11"/>
      <c r="AG64" s="11"/>
      <c r="AH64" s="11"/>
      <c r="AI64" s="11"/>
    </row>
    <row r="65" spans="1:35" hidden="1" x14ac:dyDescent="0.35">
      <c r="A65" s="1"/>
      <c r="B65" s="44"/>
      <c r="C65" s="43"/>
      <c r="D65" s="14"/>
      <c r="E65" s="179">
        <v>0.25</v>
      </c>
      <c r="F65" s="8">
        <v>87850</v>
      </c>
      <c r="G65" s="11">
        <v>90046.249999999985</v>
      </c>
      <c r="H65" s="11">
        <v>92297.406249999971</v>
      </c>
      <c r="I65" s="11">
        <v>94604.841406249965</v>
      </c>
      <c r="J65" s="11">
        <v>96969.962441406213</v>
      </c>
      <c r="K65" s="11">
        <v>99394.211502441365</v>
      </c>
      <c r="L65" s="11">
        <v>101879.06679000238</v>
      </c>
      <c r="M65" s="11">
        <v>104426.04345975243</v>
      </c>
      <c r="N65" s="11">
        <v>107036.69454624623</v>
      </c>
      <c r="O65" s="11">
        <v>109712.61190990238</v>
      </c>
      <c r="P65" s="11">
        <v>112455.42720764993</v>
      </c>
      <c r="Q65" s="11">
        <v>115266.81288784117</v>
      </c>
      <c r="R65" s="11">
        <v>118148.48321003719</v>
      </c>
      <c r="S65" s="11">
        <v>121102.1952902881</v>
      </c>
      <c r="T65" s="11">
        <v>124129.75017254529</v>
      </c>
      <c r="U65" s="11">
        <v>127232.99392685891</v>
      </c>
      <c r="V65" s="11">
        <v>130413.81877503036</v>
      </c>
      <c r="W65" s="11">
        <v>133674.1642444061</v>
      </c>
      <c r="X65" s="11">
        <v>137016.01835051624</v>
      </c>
      <c r="Y65" s="11">
        <v>140441.41880927913</v>
      </c>
      <c r="Z65" s="11">
        <v>143952.45427951109</v>
      </c>
      <c r="AA65" s="11"/>
      <c r="AB65" s="11"/>
      <c r="AC65" s="11"/>
      <c r="AD65" s="11"/>
      <c r="AE65" s="11"/>
      <c r="AF65" s="11"/>
      <c r="AG65" s="11"/>
      <c r="AH65" s="11"/>
      <c r="AI65" s="11"/>
    </row>
    <row r="66" spans="1:35" hidden="1" x14ac:dyDescent="0.35">
      <c r="A66" s="1"/>
      <c r="B66" s="44"/>
      <c r="C66" s="43"/>
      <c r="D66" s="14"/>
      <c r="E66" s="179">
        <v>0.28000000000000003</v>
      </c>
      <c r="F66" s="112">
        <v>183250</v>
      </c>
      <c r="G66" s="11">
        <v>187831.24999999997</v>
      </c>
      <c r="H66" s="11">
        <v>192527.03124999994</v>
      </c>
      <c r="I66" s="11">
        <v>197340.20703124991</v>
      </c>
      <c r="J66" s="11">
        <v>202273.71220703115</v>
      </c>
      <c r="K66" s="11">
        <v>207330.5550122069</v>
      </c>
      <c r="L66" s="11">
        <v>212513.81888751205</v>
      </c>
      <c r="M66" s="11">
        <v>217826.66435969985</v>
      </c>
      <c r="N66" s="11">
        <v>223272.33096869232</v>
      </c>
      <c r="O66" s="11">
        <v>228854.13924290962</v>
      </c>
      <c r="P66" s="11">
        <v>234575.49272398234</v>
      </c>
      <c r="Q66" s="11">
        <v>240439.88004208187</v>
      </c>
      <c r="R66" s="11">
        <v>246450.87704313389</v>
      </c>
      <c r="S66" s="11">
        <v>252612.14896921223</v>
      </c>
      <c r="T66" s="11">
        <v>258927.45269344252</v>
      </c>
      <c r="U66" s="11">
        <v>265400.63901077857</v>
      </c>
      <c r="V66" s="11">
        <v>272035.654986048</v>
      </c>
      <c r="W66" s="11">
        <v>278836.54636069917</v>
      </c>
      <c r="X66" s="11">
        <v>285807.46001971664</v>
      </c>
      <c r="Y66" s="11">
        <v>292952.64652020956</v>
      </c>
      <c r="Z66" s="11">
        <v>300276.46268321475</v>
      </c>
      <c r="AA66" s="11"/>
      <c r="AB66" s="11"/>
      <c r="AC66" s="11"/>
      <c r="AD66" s="11"/>
      <c r="AE66" s="11"/>
      <c r="AF66" s="11"/>
      <c r="AG66" s="11"/>
      <c r="AH66" s="11"/>
      <c r="AI66" s="11"/>
    </row>
    <row r="67" spans="1:35" hidden="1" x14ac:dyDescent="0.35">
      <c r="A67" s="1"/>
      <c r="B67" s="44"/>
      <c r="C67" s="43"/>
      <c r="D67" s="14"/>
      <c r="E67" s="179">
        <v>0.33</v>
      </c>
      <c r="F67" s="8">
        <v>398350</v>
      </c>
      <c r="G67" s="11">
        <v>408308.74999999994</v>
      </c>
      <c r="H67" s="11">
        <v>418516.46874999988</v>
      </c>
      <c r="I67" s="11">
        <v>428979.38046874985</v>
      </c>
      <c r="J67" s="11">
        <v>439703.86498046858</v>
      </c>
      <c r="K67" s="11">
        <v>450696.46160498029</v>
      </c>
      <c r="L67" s="11">
        <v>461963.87314510474</v>
      </c>
      <c r="M67" s="11">
        <v>473512.96997373231</v>
      </c>
      <c r="N67" s="11">
        <v>485350.79422307556</v>
      </c>
      <c r="O67" s="11">
        <v>497484.56407865242</v>
      </c>
      <c r="P67" s="11">
        <v>509921.67818061868</v>
      </c>
      <c r="Q67" s="11">
        <v>522669.72013513412</v>
      </c>
      <c r="R67" s="11">
        <v>535736.46313851245</v>
      </c>
      <c r="S67" s="11">
        <v>549129.87471697526</v>
      </c>
      <c r="T67" s="11">
        <v>562858.12158489961</v>
      </c>
      <c r="U67" s="11">
        <v>576929.57462452201</v>
      </c>
      <c r="V67" s="11">
        <v>591352.81399013498</v>
      </c>
      <c r="W67" s="11">
        <v>606136.63433988835</v>
      </c>
      <c r="X67" s="11">
        <v>621290.05019838549</v>
      </c>
      <c r="Y67" s="11">
        <v>636822.30145334511</v>
      </c>
      <c r="Z67" s="11">
        <v>652742.85898967867</v>
      </c>
      <c r="AA67" s="11"/>
      <c r="AB67" s="11"/>
      <c r="AC67" s="11"/>
      <c r="AD67" s="11"/>
      <c r="AE67" s="11"/>
      <c r="AF67" s="11"/>
      <c r="AG67" s="11"/>
      <c r="AH67" s="11"/>
      <c r="AI67" s="11"/>
    </row>
    <row r="68" spans="1:35" hidden="1" x14ac:dyDescent="0.35">
      <c r="A68" s="1"/>
      <c r="B68" s="44"/>
      <c r="C68" s="43"/>
      <c r="D68" s="14"/>
      <c r="E68" s="179">
        <v>0.35</v>
      </c>
      <c r="F68" s="78">
        <v>400000</v>
      </c>
      <c r="G68" s="11">
        <v>409999.99999999994</v>
      </c>
      <c r="H68" s="11">
        <v>420249.99999999988</v>
      </c>
      <c r="I68" s="11">
        <v>430756.24999999983</v>
      </c>
      <c r="J68" s="11">
        <v>441525.15624999977</v>
      </c>
      <c r="K68" s="11">
        <v>452563.28515624971</v>
      </c>
      <c r="L68" s="11">
        <v>463877.36728515592</v>
      </c>
      <c r="M68" s="11">
        <v>475474.30146728479</v>
      </c>
      <c r="N68" s="11">
        <v>487361.1590039669</v>
      </c>
      <c r="O68" s="11">
        <v>499545.18797906605</v>
      </c>
      <c r="P68" s="11">
        <v>512033.81767854263</v>
      </c>
      <c r="Q68" s="11">
        <v>524834.6631205061</v>
      </c>
      <c r="R68" s="11">
        <v>537955.52969851869</v>
      </c>
      <c r="S68" s="11">
        <v>551404.41794098157</v>
      </c>
      <c r="T68" s="11">
        <v>565189.52838950604</v>
      </c>
      <c r="U68" s="11">
        <v>579319.26659924362</v>
      </c>
      <c r="V68" s="11">
        <v>593802.24826422462</v>
      </c>
      <c r="W68" s="11">
        <v>608647.30447083013</v>
      </c>
      <c r="X68" s="11">
        <v>623863.48708260083</v>
      </c>
      <c r="Y68" s="11">
        <v>639460.07425966579</v>
      </c>
      <c r="Z68" s="11">
        <v>655446.57611615735</v>
      </c>
      <c r="AA68" s="11"/>
      <c r="AB68" s="11"/>
      <c r="AC68" s="11"/>
      <c r="AD68" s="11"/>
      <c r="AE68" s="11"/>
      <c r="AF68" s="11"/>
      <c r="AG68" s="11"/>
      <c r="AH68" s="11"/>
      <c r="AI68" s="11"/>
    </row>
    <row r="69" spans="1:35" hidden="1" x14ac:dyDescent="0.35">
      <c r="A69" s="1"/>
      <c r="B69" s="44"/>
      <c r="C69" s="43"/>
      <c r="D69" s="14"/>
      <c r="E69" s="180">
        <v>0.39600000000000002</v>
      </c>
      <c r="F69" s="11"/>
      <c r="G69" s="11"/>
      <c r="H69" s="11"/>
      <c r="I69" s="11"/>
      <c r="J69" s="11"/>
      <c r="K69" s="11"/>
      <c r="L69" s="11"/>
      <c r="M69" s="11"/>
      <c r="N69" s="11"/>
      <c r="O69" s="11"/>
      <c r="P69" s="11"/>
      <c r="Q69" s="11"/>
      <c r="R69" s="11"/>
      <c r="S69" s="11"/>
      <c r="T69" s="11"/>
      <c r="U69" s="11"/>
      <c r="V69" s="11"/>
      <c r="W69" s="11"/>
      <c r="X69" s="11"/>
      <c r="Y69" s="11"/>
      <c r="Z69" s="11"/>
      <c r="AA69" s="11" t="s">
        <v>86</v>
      </c>
      <c r="AB69" s="11"/>
      <c r="AC69" s="11"/>
      <c r="AD69" s="11"/>
      <c r="AE69" s="11"/>
      <c r="AF69" s="11"/>
      <c r="AG69" s="11"/>
      <c r="AH69" s="11"/>
      <c r="AI69" s="11"/>
    </row>
    <row r="70" spans="1:35" hidden="1" x14ac:dyDescent="0.35">
      <c r="A70" s="1"/>
      <c r="B70" s="44"/>
      <c r="C70" s="43"/>
      <c r="D70" s="14"/>
      <c r="F70" s="11"/>
      <c r="G70" s="11"/>
      <c r="H70" s="11"/>
      <c r="I70" s="11"/>
      <c r="J70" s="11"/>
      <c r="K70" s="11"/>
      <c r="L70" s="11"/>
      <c r="M70" s="11"/>
      <c r="N70" s="11"/>
      <c r="O70" s="11"/>
      <c r="P70" s="11"/>
      <c r="Q70" s="11"/>
      <c r="R70" s="11"/>
      <c r="S70" s="11"/>
      <c r="T70" s="11"/>
      <c r="U70" s="11"/>
      <c r="V70" s="11"/>
      <c r="W70" s="11"/>
      <c r="X70" s="11" t="s">
        <v>38</v>
      </c>
      <c r="Y70" s="11"/>
      <c r="Z70" s="11">
        <f>(Z76-Z58)+D33</f>
        <v>1137258.5626439778</v>
      </c>
      <c r="AA70" s="11">
        <f>(Z76-Z58)+D32</f>
        <v>494731.14738730312</v>
      </c>
      <c r="AB70" s="11">
        <f>(Z76-Z58)+D41</f>
        <v>1078487.7787939105</v>
      </c>
      <c r="AC70" s="11">
        <f>(Z76-Z58)+D43</f>
        <v>1054641.9812106201</v>
      </c>
      <c r="AD70" s="11"/>
      <c r="AE70" s="11"/>
      <c r="AF70" s="11"/>
      <c r="AG70" s="11"/>
      <c r="AH70" s="11"/>
      <c r="AI70" s="11"/>
    </row>
    <row r="71" spans="1:35" hidden="1" x14ac:dyDescent="0.35">
      <c r="A71" s="1"/>
      <c r="B71" s="44"/>
      <c r="C71" s="43"/>
      <c r="D71" s="14"/>
      <c r="E71" s="11" t="s">
        <v>39</v>
      </c>
      <c r="F71" s="11">
        <v>0</v>
      </c>
      <c r="G71" s="11">
        <v>0</v>
      </c>
      <c r="H71" s="11">
        <v>0</v>
      </c>
      <c r="I71" s="11">
        <v>0</v>
      </c>
      <c r="J71" s="11">
        <v>0</v>
      </c>
      <c r="K71" s="11">
        <v>0</v>
      </c>
      <c r="L71" s="11">
        <v>0</v>
      </c>
      <c r="M71" s="11">
        <v>0</v>
      </c>
      <c r="N71" s="11">
        <v>0</v>
      </c>
      <c r="O71" s="11">
        <v>0</v>
      </c>
      <c r="P71" s="11">
        <v>0</v>
      </c>
      <c r="Q71" s="11">
        <v>0</v>
      </c>
      <c r="R71" s="11">
        <v>0</v>
      </c>
      <c r="S71" s="11">
        <v>0</v>
      </c>
      <c r="T71" s="11">
        <v>0</v>
      </c>
      <c r="U71" s="11">
        <v>0</v>
      </c>
      <c r="V71" s="11">
        <v>0</v>
      </c>
      <c r="W71" s="11">
        <v>0</v>
      </c>
      <c r="X71" s="11">
        <v>0</v>
      </c>
      <c r="Y71" s="11">
        <v>0</v>
      </c>
      <c r="Z71" s="11">
        <f>IF(
Z70&lt;=Z63,
D33*E63,
IF(
Z70&lt;=Z64,
D33*E64,
IF(
Z70&lt;=Z65,
D33*E65,
IF(
Z70&lt;=Z66,
D33*E66,
IF(
Z70&lt;=Z67,
D33*E67,
IF(
Z70&lt;=Z68,
D33*E68,
D33*E69
))))))</f>
        <v>260485.01319668099</v>
      </c>
      <c r="AA71" s="181">
        <f>IF(
AA70&lt;=Z63,
D32*E63,
IF(
AA70&lt;=Z64,
D32*E64,
IF(
AA70&lt;=Z65,
D32*E65,
IF(
AA70&lt;=Z66,
D32*E66,
IF(
AA70&lt;=Z67,
D32*E67,
IF(
AA70&lt;=Z68,
D32*E68,
D32*E69
))))))</f>
        <v>5036.7972958648807</v>
      </c>
      <c r="AB71" s="11">
        <f>IF(
AB70&lt;=Z63,
D41*E63,
IF(
AB70&lt;=Z64,
D41*E64,
IF(
AB70&lt;=Z65,
D41*E65,
IF(
AB70&lt;=Z66,
D41*E66,
IF(
AB70&lt;=Z67,
D41*E67,
IF(
AB70&lt;=Z68,
D41*E68,
D41*E69
))))))</f>
        <v>237211.78279205438</v>
      </c>
      <c r="AC71" s="11">
        <f>IF(
AC70&lt;=Z63,
D43*E63,
IF(
AC70&lt;=Z64,
D43*E64,
IF(
AC70&lt;=Z65,
D43*E65,
IF(
AC70&lt;=Z66,
D43*E66,
IF(
AC70&lt;=Z67,
D43*E67,
IF(
AC70&lt;=Z68,
D43*E68,
D43*E69
))))))</f>
        <v>227768.84694907136</v>
      </c>
      <c r="AD71" s="11"/>
      <c r="AE71" s="11"/>
      <c r="AF71" s="11"/>
      <c r="AG71" s="11"/>
      <c r="AH71" s="11"/>
      <c r="AI71" s="11"/>
    </row>
    <row r="72" spans="1:35" hidden="1" x14ac:dyDescent="0.35">
      <c r="A72" s="1"/>
      <c r="B72" s="44"/>
      <c r="C72" s="43"/>
      <c r="D72" s="14"/>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row>
    <row r="73" spans="1:35" x14ac:dyDescent="0.35">
      <c r="B73" s="2"/>
      <c r="C73" s="279" t="s">
        <v>17</v>
      </c>
      <c r="D73" s="279"/>
      <c r="E73" s="279"/>
      <c r="F73" s="9">
        <v>1</v>
      </c>
      <c r="G73" s="9">
        <f t="shared" ref="G73:AD73" si="2">F73+1</f>
        <v>2</v>
      </c>
      <c r="H73" s="9">
        <f t="shared" si="2"/>
        <v>3</v>
      </c>
      <c r="I73" s="9">
        <f t="shared" si="2"/>
        <v>4</v>
      </c>
      <c r="J73" s="9">
        <f t="shared" si="2"/>
        <v>5</v>
      </c>
      <c r="K73" s="9">
        <f t="shared" si="2"/>
        <v>6</v>
      </c>
      <c r="L73" s="9">
        <f t="shared" si="2"/>
        <v>7</v>
      </c>
      <c r="M73" s="9">
        <f t="shared" si="2"/>
        <v>8</v>
      </c>
      <c r="N73" s="9">
        <f t="shared" si="2"/>
        <v>9</v>
      </c>
      <c r="O73" s="9">
        <f t="shared" si="2"/>
        <v>10</v>
      </c>
      <c r="P73" s="9">
        <f t="shared" si="2"/>
        <v>11</v>
      </c>
      <c r="Q73" s="9">
        <f t="shared" si="2"/>
        <v>12</v>
      </c>
      <c r="R73" s="9">
        <f t="shared" si="2"/>
        <v>13</v>
      </c>
      <c r="S73" s="9">
        <f t="shared" si="2"/>
        <v>14</v>
      </c>
      <c r="T73" s="9">
        <f t="shared" si="2"/>
        <v>15</v>
      </c>
      <c r="U73" s="9">
        <f t="shared" si="2"/>
        <v>16</v>
      </c>
      <c r="V73" s="9">
        <f t="shared" si="2"/>
        <v>17</v>
      </c>
      <c r="W73" s="9">
        <f t="shared" si="2"/>
        <v>18</v>
      </c>
      <c r="X73" s="9">
        <f t="shared" si="2"/>
        <v>19</v>
      </c>
      <c r="Y73" s="9">
        <f t="shared" si="2"/>
        <v>20</v>
      </c>
      <c r="Z73" s="9">
        <f t="shared" si="2"/>
        <v>21</v>
      </c>
      <c r="AA73" s="9">
        <f t="shared" si="2"/>
        <v>22</v>
      </c>
      <c r="AB73" s="9">
        <f t="shared" si="2"/>
        <v>23</v>
      </c>
      <c r="AC73" s="9">
        <f t="shared" si="2"/>
        <v>24</v>
      </c>
      <c r="AD73" s="9">
        <f t="shared" si="2"/>
        <v>25</v>
      </c>
      <c r="AE73" s="9"/>
      <c r="AF73" s="9"/>
      <c r="AG73" s="9"/>
      <c r="AH73" s="9">
        <v>29</v>
      </c>
      <c r="AI73" s="9">
        <v>30</v>
      </c>
    </row>
    <row r="74" spans="1:35" x14ac:dyDescent="0.35">
      <c r="B74" s="29"/>
      <c r="C74" s="75" t="s">
        <v>151</v>
      </c>
      <c r="D74" s="75"/>
      <c r="E74" s="75"/>
      <c r="F74" s="40">
        <v>0</v>
      </c>
      <c r="G74" s="40">
        <v>0</v>
      </c>
      <c r="H74" s="40">
        <v>0</v>
      </c>
      <c r="I74" s="40">
        <v>0</v>
      </c>
      <c r="J74" s="40">
        <v>0</v>
      </c>
      <c r="K74" s="40">
        <v>0</v>
      </c>
      <c r="L74" s="40">
        <v>0</v>
      </c>
      <c r="M74" s="40">
        <v>0</v>
      </c>
      <c r="N74" s="40">
        <v>0</v>
      </c>
      <c r="O74" s="40">
        <v>0</v>
      </c>
      <c r="P74" s="40">
        <v>0</v>
      </c>
      <c r="Q74" s="40">
        <v>0</v>
      </c>
      <c r="R74" s="40">
        <v>0</v>
      </c>
      <c r="S74" s="40">
        <v>0</v>
      </c>
      <c r="T74" s="40">
        <v>0</v>
      </c>
      <c r="U74" s="40">
        <v>0</v>
      </c>
      <c r="V74" s="40">
        <v>0</v>
      </c>
      <c r="W74" s="40">
        <v>0</v>
      </c>
      <c r="X74" s="40">
        <v>0</v>
      </c>
      <c r="Y74" s="40">
        <v>0</v>
      </c>
      <c r="Z74" s="40">
        <v>0</v>
      </c>
      <c r="AA74" s="40">
        <v>0</v>
      </c>
      <c r="AB74" s="40">
        <v>0</v>
      </c>
      <c r="AC74" s="40">
        <v>0</v>
      </c>
      <c r="AD74" s="40">
        <v>0</v>
      </c>
    </row>
    <row r="75" spans="1:35" x14ac:dyDescent="0.35">
      <c r="A75" s="1"/>
      <c r="B75" s="18"/>
      <c r="C75" s="274" t="s">
        <v>32</v>
      </c>
      <c r="D75" s="274"/>
      <c r="E75" s="274"/>
      <c r="F75" s="182">
        <v>80000</v>
      </c>
      <c r="G75" s="182">
        <v>105000</v>
      </c>
      <c r="H75" s="182">
        <v>178000</v>
      </c>
      <c r="I75" s="182">
        <v>300000</v>
      </c>
      <c r="J75" s="182">
        <f>I75*1.03</f>
        <v>309000</v>
      </c>
      <c r="K75" s="182">
        <f t="shared" ref="K75:AD75" si="3">J75*1.03</f>
        <v>318270</v>
      </c>
      <c r="L75" s="182">
        <f t="shared" si="3"/>
        <v>327818.10000000003</v>
      </c>
      <c r="M75" s="182">
        <f t="shared" si="3"/>
        <v>337652.64300000004</v>
      </c>
      <c r="N75" s="182">
        <f t="shared" si="3"/>
        <v>347782.22229000006</v>
      </c>
      <c r="O75" s="182">
        <f t="shared" si="3"/>
        <v>358215.68895870005</v>
      </c>
      <c r="P75" s="182">
        <f t="shared" si="3"/>
        <v>368962.15962746105</v>
      </c>
      <c r="Q75" s="182">
        <f t="shared" si="3"/>
        <v>380031.02441628487</v>
      </c>
      <c r="R75" s="182">
        <f t="shared" si="3"/>
        <v>391431.95514877344</v>
      </c>
      <c r="S75" s="182">
        <f t="shared" si="3"/>
        <v>403174.91380323668</v>
      </c>
      <c r="T75" s="182">
        <f t="shared" si="3"/>
        <v>415270.16121733381</v>
      </c>
      <c r="U75" s="182">
        <f t="shared" si="3"/>
        <v>427728.26605385385</v>
      </c>
      <c r="V75" s="182">
        <f t="shared" si="3"/>
        <v>440560.11403546948</v>
      </c>
      <c r="W75" s="182">
        <f t="shared" si="3"/>
        <v>453776.91745653359</v>
      </c>
      <c r="X75" s="182">
        <f t="shared" si="3"/>
        <v>467390.22498022963</v>
      </c>
      <c r="Y75" s="182">
        <f t="shared" si="3"/>
        <v>481411.9317296365</v>
      </c>
      <c r="Z75" s="182">
        <f t="shared" si="3"/>
        <v>495854.28968152561</v>
      </c>
      <c r="AA75" s="182">
        <f t="shared" si="3"/>
        <v>510729.91837197141</v>
      </c>
      <c r="AB75" s="182">
        <f t="shared" si="3"/>
        <v>526051.81592313061</v>
      </c>
      <c r="AC75" s="182">
        <f t="shared" si="3"/>
        <v>541833.37040082458</v>
      </c>
      <c r="AD75" s="182">
        <f t="shared" si="3"/>
        <v>558088.37151284935</v>
      </c>
      <c r="AE75" s="19"/>
      <c r="AF75" s="19"/>
      <c r="AG75" s="19"/>
      <c r="AH75" s="19"/>
      <c r="AI75" s="19"/>
    </row>
    <row r="76" spans="1:35" ht="16" thickBot="1" x14ac:dyDescent="0.4">
      <c r="A76" s="1"/>
      <c r="C76" s="274" t="s">
        <v>33</v>
      </c>
      <c r="D76" s="274"/>
      <c r="E76" s="274"/>
      <c r="F76" s="20">
        <f>IF(
F75&gt;200000+N("If income is greater than 200k THEN"),
F75+N("He has no exemption, so AGI is his income")+N("If income is less than or equal to 200k THEN"),
IF(
F75&gt;F53+N("If income is greater than 150k but less than or equal to 200 k THEN"),
(F75*0.99)+N("AGI is 99 percent of income")+N("If his income is less than or equal to 150k THEN"),
IF(
F75&gt;F52+N("If his income is greater than 100k but less than or equal to 150k THEN"),
(F75*0.98)+N("AGI equals 98 percent of income")+N("If his income is less than or equal to 100k THEN"),
IF(
F75&gt;F51+N("IF income is greater than 68k but less than or equal to 100k THEN"),
(F75*0.97)+N("AGI equals 97 percent of income")+N("If income less than or equal to 68k, THEN"),
(F75*0.96)+N("AGI equals 96 percent of income")))))</f>
        <v>77600</v>
      </c>
      <c r="G76" s="20">
        <f t="shared" ref="G76:AD76" si="4">IF(
G75&gt;200000+N("If income is greater than 200k THEN"),
G75+N("He has no exemption, so AGI is his income")+N("If income is less than or equal to 200k THEN"),
IF(
G75&gt;G53+N("If income is greater than 150k but less than or equal to 200 k THEN"),
(G75*0.99)+N("AGI is 99 percent of income")+N("If his income is less than or equal to 150k THEN"),
IF(
G75&gt;G52+N("If his income is greater than 100k but less than or equal to 150k THEN"),
(G75*0.98)+N("AGI equals 98 percent of income")+N("If his income is less than or equal to 100k THEN"),
IF(
G75&gt;G51+N("IF income is greater than 68k but less than or equal to 100k THEN"),
(G75*0.97)+N("AGI equals 97 percent of income")+N("If income less than or equal to 68k, THEN"),
(G75*0.96)+N("AGI equals 96 percent of income")))))</f>
        <v>102900</v>
      </c>
      <c r="H76" s="20">
        <f t="shared" si="4"/>
        <v>176220</v>
      </c>
      <c r="I76" s="20">
        <f t="shared" si="4"/>
        <v>300000</v>
      </c>
      <c r="J76" s="20">
        <f t="shared" si="4"/>
        <v>309000</v>
      </c>
      <c r="K76" s="20">
        <f t="shared" si="4"/>
        <v>318270</v>
      </c>
      <c r="L76" s="20">
        <f t="shared" si="4"/>
        <v>327818.10000000003</v>
      </c>
      <c r="M76" s="20">
        <f t="shared" si="4"/>
        <v>337652.64300000004</v>
      </c>
      <c r="N76" s="20">
        <f t="shared" si="4"/>
        <v>347782.22229000006</v>
      </c>
      <c r="O76" s="20">
        <f t="shared" si="4"/>
        <v>358215.68895870005</v>
      </c>
      <c r="P76" s="20">
        <f t="shared" si="4"/>
        <v>368962.15962746105</v>
      </c>
      <c r="Q76" s="20">
        <f t="shared" si="4"/>
        <v>380031.02441628487</v>
      </c>
      <c r="R76" s="20">
        <f t="shared" si="4"/>
        <v>391431.95514877344</v>
      </c>
      <c r="S76" s="20">
        <f t="shared" si="4"/>
        <v>403174.91380323668</v>
      </c>
      <c r="T76" s="20">
        <f t="shared" si="4"/>
        <v>415270.16121733381</v>
      </c>
      <c r="U76" s="20">
        <f t="shared" si="4"/>
        <v>427728.26605385385</v>
      </c>
      <c r="V76" s="20">
        <f t="shared" si="4"/>
        <v>440560.11403546948</v>
      </c>
      <c r="W76" s="20">
        <f t="shared" si="4"/>
        <v>453776.91745653359</v>
      </c>
      <c r="X76" s="20">
        <f t="shared" si="4"/>
        <v>467390.22498022963</v>
      </c>
      <c r="Y76" s="20">
        <f t="shared" si="4"/>
        <v>481411.9317296365</v>
      </c>
      <c r="Z76" s="20">
        <f t="shared" si="4"/>
        <v>495854.28968152561</v>
      </c>
      <c r="AA76" s="20">
        <f t="shared" si="4"/>
        <v>510729.91837197141</v>
      </c>
      <c r="AB76" s="20">
        <f t="shared" si="4"/>
        <v>526051.81592313061</v>
      </c>
      <c r="AC76" s="20">
        <f t="shared" si="4"/>
        <v>541833.37040082458</v>
      </c>
      <c r="AD76" s="20">
        <f t="shared" si="4"/>
        <v>558088.37151284935</v>
      </c>
      <c r="AE76" s="20"/>
      <c r="AF76" s="20"/>
      <c r="AG76" s="20"/>
      <c r="AH76" s="20"/>
      <c r="AI76" s="20"/>
    </row>
    <row r="77" spans="1:35" hidden="1" x14ac:dyDescent="0.35">
      <c r="B77" s="85" t="s">
        <v>44</v>
      </c>
      <c r="C77" s="86"/>
      <c r="D77" s="90"/>
      <c r="F77" s="19">
        <f t="shared" ref="F77:AD77" si="5">(F78+(F74*F79))*1.5</f>
        <v>17655</v>
      </c>
      <c r="G77" s="19">
        <f t="shared" si="5"/>
        <v>18098.140500000001</v>
      </c>
      <c r="H77" s="19">
        <f t="shared" si="5"/>
        <v>18552.403826549998</v>
      </c>
      <c r="I77" s="19">
        <f t="shared" si="5"/>
        <v>19018.069162596403</v>
      </c>
      <c r="J77" s="19">
        <f t="shared" si="5"/>
        <v>19495.422698577571</v>
      </c>
      <c r="K77" s="19">
        <f t="shared" si="5"/>
        <v>19984.757808311864</v>
      </c>
      <c r="L77" s="19">
        <f t="shared" si="5"/>
        <v>20486.375229300491</v>
      </c>
      <c r="M77" s="19">
        <f t="shared" si="5"/>
        <v>21000.583247555929</v>
      </c>
      <c r="N77" s="19">
        <f t="shared" si="5"/>
        <v>21527.697887069582</v>
      </c>
      <c r="O77" s="19">
        <f t="shared" si="5"/>
        <v>22068.043104035027</v>
      </c>
      <c r="P77" s="19">
        <f t="shared" si="5"/>
        <v>22621.950985946303</v>
      </c>
      <c r="Q77" s="19">
        <f t="shared" si="5"/>
        <v>23189.761955693553</v>
      </c>
      <c r="R77" s="19">
        <f t="shared" si="5"/>
        <v>23771.824980781457</v>
      </c>
      <c r="S77" s="19">
        <f t="shared" si="5"/>
        <v>24368.497787799068</v>
      </c>
      <c r="T77" s="19">
        <f t="shared" si="5"/>
        <v>24980.147082272822</v>
      </c>
      <c r="U77" s="19">
        <f t="shared" si="5"/>
        <v>25607.148774037865</v>
      </c>
      <c r="V77" s="19">
        <f t="shared" si="5"/>
        <v>26249.888208266217</v>
      </c>
      <c r="W77" s="19">
        <f t="shared" si="5"/>
        <v>26908.760402293698</v>
      </c>
      <c r="X77" s="19">
        <f t="shared" si="5"/>
        <v>27584.170288391266</v>
      </c>
      <c r="Y77" s="19">
        <f t="shared" si="5"/>
        <v>28276.532962629881</v>
      </c>
      <c r="Z77" s="19">
        <f t="shared" si="5"/>
        <v>28986.273939991886</v>
      </c>
      <c r="AA77" s="19">
        <f t="shared" si="5"/>
        <v>29713.829415885681</v>
      </c>
      <c r="AB77" s="19">
        <f t="shared" si="5"/>
        <v>30459.646534224408</v>
      </c>
      <c r="AC77" s="19">
        <f t="shared" si="5"/>
        <v>31224.183662233438</v>
      </c>
      <c r="AD77" s="19">
        <f t="shared" si="5"/>
        <v>32007.910672155493</v>
      </c>
      <c r="AE77" s="19"/>
      <c r="AF77" s="19"/>
      <c r="AG77" s="19"/>
      <c r="AH77" s="19"/>
      <c r="AI77" s="19"/>
    </row>
    <row r="78" spans="1:35" hidden="1" x14ac:dyDescent="0.35">
      <c r="B78" s="91" t="s">
        <v>46</v>
      </c>
      <c r="D78" s="92">
        <v>11770</v>
      </c>
      <c r="F78" s="19">
        <f>D78</f>
        <v>11770</v>
      </c>
      <c r="G78" s="19">
        <f>F78*1.0251</f>
        <v>12065.427</v>
      </c>
      <c r="H78" s="19">
        <f t="shared" ref="H78:AD78" si="6">G78*1.0251</f>
        <v>12368.269217699999</v>
      </c>
      <c r="I78" s="19">
        <f t="shared" si="6"/>
        <v>12678.712775064268</v>
      </c>
      <c r="J78" s="19">
        <f t="shared" si="6"/>
        <v>12996.94846571838</v>
      </c>
      <c r="K78" s="19">
        <f t="shared" si="6"/>
        <v>13323.171872207909</v>
      </c>
      <c r="L78" s="19">
        <f t="shared" si="6"/>
        <v>13657.583486200327</v>
      </c>
      <c r="M78" s="19">
        <f t="shared" si="6"/>
        <v>14000.388831703953</v>
      </c>
      <c r="N78" s="19">
        <f t="shared" si="6"/>
        <v>14351.79859137972</v>
      </c>
      <c r="O78" s="19">
        <f t="shared" si="6"/>
        <v>14712.028736023351</v>
      </c>
      <c r="P78" s="19">
        <f t="shared" si="6"/>
        <v>15081.300657297536</v>
      </c>
      <c r="Q78" s="19">
        <f t="shared" si="6"/>
        <v>15459.841303795702</v>
      </c>
      <c r="R78" s="19">
        <f t="shared" si="6"/>
        <v>15847.883320520972</v>
      </c>
      <c r="S78" s="19">
        <f t="shared" si="6"/>
        <v>16245.665191866046</v>
      </c>
      <c r="T78" s="19">
        <f t="shared" si="6"/>
        <v>16653.431388181882</v>
      </c>
      <c r="U78" s="19">
        <f t="shared" si="6"/>
        <v>17071.432516025245</v>
      </c>
      <c r="V78" s="19">
        <f t="shared" si="6"/>
        <v>17499.925472177478</v>
      </c>
      <c r="W78" s="19">
        <f t="shared" si="6"/>
        <v>17939.173601529132</v>
      </c>
      <c r="X78" s="19">
        <f t="shared" si="6"/>
        <v>18389.446858927509</v>
      </c>
      <c r="Y78" s="19">
        <f t="shared" si="6"/>
        <v>18851.021975086587</v>
      </c>
      <c r="Z78" s="19">
        <f t="shared" si="6"/>
        <v>19324.182626661259</v>
      </c>
      <c r="AA78" s="19">
        <f t="shared" si="6"/>
        <v>19809.219610590455</v>
      </c>
      <c r="AB78" s="19">
        <f t="shared" si="6"/>
        <v>20306.431022816272</v>
      </c>
      <c r="AC78" s="19">
        <f t="shared" si="6"/>
        <v>20816.122441488958</v>
      </c>
      <c r="AD78" s="19">
        <f t="shared" si="6"/>
        <v>21338.60711477033</v>
      </c>
      <c r="AE78" s="19"/>
      <c r="AF78" s="19"/>
      <c r="AG78" s="19"/>
      <c r="AH78" s="19"/>
      <c r="AI78" s="19"/>
    </row>
    <row r="79" spans="1:35" ht="16" hidden="1" thickBot="1" x14ac:dyDescent="0.4">
      <c r="B79" s="88" t="s">
        <v>45</v>
      </c>
      <c r="C79" s="89"/>
      <c r="D79" s="93">
        <v>4160</v>
      </c>
      <c r="F79" s="19">
        <f>D79</f>
        <v>4160</v>
      </c>
      <c r="G79" s="19">
        <f>F79*1.0258</f>
        <v>4267.3280000000004</v>
      </c>
      <c r="H79" s="19">
        <f t="shared" ref="H79:AD79" si="7">G79*1.0258</f>
        <v>4377.4250624000006</v>
      </c>
      <c r="I79" s="19">
        <f t="shared" si="7"/>
        <v>4490.362629009921</v>
      </c>
      <c r="J79" s="19">
        <f t="shared" si="7"/>
        <v>4606.2139848383767</v>
      </c>
      <c r="K79" s="19">
        <f t="shared" si="7"/>
        <v>4725.054305647207</v>
      </c>
      <c r="L79" s="19">
        <f t="shared" si="7"/>
        <v>4846.9607067329052</v>
      </c>
      <c r="M79" s="19">
        <f t="shared" si="7"/>
        <v>4972.012292966614</v>
      </c>
      <c r="N79" s="19">
        <f t="shared" si="7"/>
        <v>5100.290210125153</v>
      </c>
      <c r="O79" s="19">
        <f t="shared" si="7"/>
        <v>5231.8776975463825</v>
      </c>
      <c r="P79" s="19">
        <f t="shared" si="7"/>
        <v>5366.8601421430794</v>
      </c>
      <c r="Q79" s="19">
        <f t="shared" si="7"/>
        <v>5505.325133810371</v>
      </c>
      <c r="R79" s="19">
        <f t="shared" si="7"/>
        <v>5647.3625222626788</v>
      </c>
      <c r="S79" s="19">
        <f t="shared" si="7"/>
        <v>5793.0644753370561</v>
      </c>
      <c r="T79" s="19">
        <f t="shared" si="7"/>
        <v>5942.5255388007527</v>
      </c>
      <c r="U79" s="19">
        <f t="shared" si="7"/>
        <v>6095.8426977018125</v>
      </c>
      <c r="V79" s="19">
        <f t="shared" si="7"/>
        <v>6253.1154393025199</v>
      </c>
      <c r="W79" s="19">
        <f t="shared" si="7"/>
        <v>6414.4458176365251</v>
      </c>
      <c r="X79" s="19">
        <f t="shared" si="7"/>
        <v>6579.9385197315478</v>
      </c>
      <c r="Y79" s="19">
        <f t="shared" si="7"/>
        <v>6749.7009335406219</v>
      </c>
      <c r="Z79" s="19">
        <f t="shared" si="7"/>
        <v>6923.8432176259703</v>
      </c>
      <c r="AA79" s="19">
        <f t="shared" si="7"/>
        <v>7102.4783726407204</v>
      </c>
      <c r="AB79" s="19">
        <f t="shared" si="7"/>
        <v>7285.7223146548513</v>
      </c>
      <c r="AC79" s="19">
        <f t="shared" si="7"/>
        <v>7473.6939503729463</v>
      </c>
      <c r="AD79" s="19">
        <f t="shared" si="7"/>
        <v>7666.5152542925689</v>
      </c>
      <c r="AE79" s="19"/>
      <c r="AF79" s="19"/>
      <c r="AG79" s="19"/>
      <c r="AH79" s="19"/>
      <c r="AI79" s="19"/>
    </row>
    <row r="80" spans="1:35" hidden="1" x14ac:dyDescent="0.35">
      <c r="B80" s="85" t="s">
        <v>4</v>
      </c>
      <c r="C80" s="86"/>
      <c r="D80" s="87">
        <f>C7</f>
        <v>7.6294230088091136E-2</v>
      </c>
      <c r="E80" s="30"/>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row>
    <row r="81" spans="1:35" ht="16" hidden="1" thickBot="1" x14ac:dyDescent="0.4">
      <c r="B81" s="91" t="s">
        <v>5</v>
      </c>
      <c r="D81" s="94">
        <f>F109*12</f>
        <v>75228.125237483313</v>
      </c>
      <c r="E81" s="45"/>
      <c r="G81" s="19"/>
      <c r="H81" s="19"/>
      <c r="I81" s="19"/>
      <c r="J81" s="19"/>
      <c r="K81" s="19"/>
      <c r="L81" s="19"/>
      <c r="M81" s="19"/>
      <c r="N81" s="19"/>
      <c r="O81" s="19"/>
      <c r="P81" s="19"/>
      <c r="Q81" s="19"/>
      <c r="R81" s="19"/>
      <c r="S81" s="19"/>
      <c r="T81" s="19"/>
      <c r="U81" s="19"/>
      <c r="V81" s="19"/>
      <c r="W81" s="19"/>
      <c r="X81" s="19"/>
      <c r="Y81" s="19"/>
      <c r="Z81" s="19"/>
      <c r="AA81" s="19"/>
      <c r="AB81" s="19"/>
      <c r="AC81" s="19"/>
      <c r="AD81" s="19"/>
    </row>
    <row r="82" spans="1:35" hidden="1" x14ac:dyDescent="0.35">
      <c r="A82" s="1"/>
      <c r="B82" s="85"/>
      <c r="C82" s="86"/>
      <c r="D82" s="86"/>
      <c r="E82" s="95" t="s">
        <v>91</v>
      </c>
      <c r="F82" s="19">
        <f>F96*12</f>
        <v>8991.75</v>
      </c>
      <c r="G82" s="19">
        <f>IF(
F85=0+N("If the preceding year's loan balance is zero then"),
0+N("the current IBR payment is zero")+N("If the condition is not met then"),
IF(
AND(
G85=0+N("If this year's loan balance will be zero AND"),
I85=0+N("two year's from now it will be zero, then")),
F85+N("this is the last year of payment, and therefore the total payment made this year will simply be the remaining loan balance from last year")+N("If not then"),
G96*12+N("The monthly IBR payment multiplied by twelve")))</f>
        <v>12720.278924999999</v>
      </c>
      <c r="H82" s="19">
        <f>IF(
G85=0+N("If the preceding year's loan balance is zero then"),
0+N("the current IBR payment is zero")+N("If the condition is not met then"),
IF(
AND(
H85=0+N("If this year's loan balance will be zero AND"),
J85=0+N("two year's from now it will be zero, then")),
G85+N("this is the last year of payment, and therefore the total payment made this year will simply be the remaining loan balance from last year")+N("If not then"),
H96*12+N("The monthly IBR payment multiplied by twelve")))</f>
        <v>23650.1394260175</v>
      </c>
      <c r="I82" s="19">
        <f>IF(
H85=0+N("If the preceding year's loan balance is zero then"),
0+N("the current IBR payment is zero")+N("If the condition is not met then"),
IF(
AND(
I85=0+N("If this year's loan balance will be zero AND"),
K85=0+N("two year's from now it will be zero, then")),
H85+N("this is the last year of payment, and therefore the total payment made this year will simply be the remaining loan balance from last year")+N("If not then"),
I96*12+N("The monthly IBR payment multiplied by twelve")))</f>
        <v>42147.289625610538</v>
      </c>
      <c r="J82" s="19">
        <f t="shared" ref="J82:Y82" si="8">IF(
I85=0+N("If the preceding year's loan balance is zero then"),
0+N("the current IBR payment is zero")+N("If the condition is not met then"),
IF(
AND(
J85=0+N("If this year's loan balance will be zero AND"),
L85=0+N("two year's from now it will be zero, then")),
I85+N("this is the last year of payment, and therefore the total payment made this year will simply be the remaining loan balance from last year")+N("If not then"),
J96*12+N("The monthly IBR payment multiplied by twelve")))</f>
        <v>43425.686595213359</v>
      </c>
      <c r="K82" s="19">
        <f t="shared" si="8"/>
        <v>44742.786328753224</v>
      </c>
      <c r="L82" s="19">
        <f t="shared" si="8"/>
        <v>46099.758715604934</v>
      </c>
      <c r="M82" s="19">
        <f t="shared" si="8"/>
        <v>47497.808962866613</v>
      </c>
      <c r="N82" s="19">
        <f t="shared" si="8"/>
        <v>48938.178660439567</v>
      </c>
      <c r="O82" s="19">
        <f t="shared" si="8"/>
        <v>50422.146878199754</v>
      </c>
      <c r="P82" s="19">
        <f t="shared" si="8"/>
        <v>51951.031296227215</v>
      </c>
      <c r="Q82" s="19">
        <f t="shared" si="8"/>
        <v>53526.189369088694</v>
      </c>
      <c r="R82" s="19">
        <f t="shared" si="8"/>
        <v>55149.01952519879</v>
      </c>
      <c r="S82" s="19">
        <f t="shared" si="8"/>
        <v>56820.96240231565</v>
      </c>
      <c r="T82" s="19">
        <f t="shared" si="8"/>
        <v>58543.502120259145</v>
      </c>
      <c r="U82" s="19">
        <f t="shared" si="8"/>
        <v>60318.167591972393</v>
      </c>
      <c r="V82" s="19">
        <f t="shared" si="8"/>
        <v>62146.533874080487</v>
      </c>
      <c r="W82" s="19">
        <f t="shared" si="8"/>
        <v>64030.223558135978</v>
      </c>
      <c r="X82" s="19">
        <f t="shared" si="8"/>
        <v>65970.908203775747</v>
      </c>
      <c r="Y82" s="19">
        <f t="shared" si="8"/>
        <v>67970.30981505099</v>
      </c>
      <c r="Z82" s="19">
        <f>IF(
$C$11=0.1+N("If the interest rate is ten percent, THEN"),
0+N("The annual IBR payment is zero because the loan have been forgiven")+N("If that condition is not met THEN"),
IF(
Y85=0+N("If the preceding year's loan balance is zero then"),
0+N("the current IBR payment is zero")+N("If the condition is not met then"),
IF(
AND(
Z85=0+N("If this year's loan balance will be zero AND"),
AB85=0+N("two year's from now it will be zero, then")),
Y85+N("this is the last year of payment, and therefore the total payment made this year will simply be the remaining loan balance from last year")+N("If not then"),
Z96*12+N("The monthly IBR payment multiplied by twelve"))))</f>
        <v>70030.202361230055</v>
      </c>
      <c r="AA82" s="19">
        <f>IF(
$C$11=0.1+N("If the interest rate is ten percent, THEN"),
0+N("The annual IBR payment is zero because the loan have been forgiven")+N("If that condition is not met THEN"),
IF(
Z85=0+N("If the preceding year's loan balance is zero then"),
0+N("the current IBR payment is zero")+N("If the condition is not met then"),
IF(
AND(
AA85=0+N("If this year's loan balance will be zero AND"),
AC85=0+N("two year's from now it will be zero, then")),
Z85+N("this is the last year of payment, and therefore the total payment made this year will simply be the remaining loan balance from last year")+N("If not then"),
AA96*12+N("The monthly IBR payment multiplied by twelve"))))</f>
        <v>72152.41334341286</v>
      </c>
      <c r="AB82" s="19">
        <f>IF(
$C$11=0.1+N("If the interest rate is ten percent, THEN"),
0+N("The annual IBR payment is zero because the loan have been forgiven")+N("If that condition is not met THEN"),
IF(
AA85=0+N("If the preceding year's loan balance is zero then"),
0+N("the current IBR payment is zero")+N("If the condition is not met then"),
IF(
AND(
AB85=0+N("If this year's loan balance will be zero AND"),
AD85=0+N("two year's from now it will be zero, then")),
AA85+N("this is the last year of payment, and therefore the total payment made this year will simply be the remaining loan balance from last year")+N("If not then"),
AB96*12+N("The monthly IBR payment multiplied by twelve"))))</f>
        <v>74338.825408335935</v>
      </c>
      <c r="AC82" s="19">
        <f>IF(
$C$11=0.1+N("If the interest rate is ten percent, THEN"),
0+N("The annual IBR payment is zero because the loan have been forgiven")+N("If that condition is not met THEN"),
IF(
AB85=0+N("If the preceding year's loan balance is zero then"),
0+N("the current IBR payment is zero")+N("If the condition is not met then"),
IF(
AND(
AC85=0+N("If this year's loan balance will be zero AND"),
AE85=0+N("two year's from now it will be zero, then")),
AB85+N("this is the last year of payment, and therefore the total payment made this year will simply be the remaining loan balance from last year")+N("If not then"),
AC96*12+N("The monthly IBR payment multiplied by twelve"))))</f>
        <v>75228.125237483313</v>
      </c>
      <c r="AD82" s="19">
        <f>IF($C$11=0.1,0,IF(AC85=0,0,IF(AND(AD85=0,AF85=0),AC85,AD96*12)))</f>
        <v>75228.125237483313</v>
      </c>
      <c r="AE82" s="19"/>
      <c r="AF82" s="19"/>
      <c r="AG82" s="19"/>
      <c r="AH82" s="19"/>
      <c r="AI82" s="19"/>
    </row>
    <row r="83" spans="1:35" hidden="1" x14ac:dyDescent="0.35">
      <c r="A83" s="1"/>
      <c r="B83" s="91"/>
      <c r="E83" s="96" t="s">
        <v>52</v>
      </c>
      <c r="F83" s="19">
        <f>D85*C7</f>
        <v>40064.999400000001</v>
      </c>
      <c r="G83" s="19">
        <f t="shared" ref="G83:AD83" si="9">IF(
F96=$F$109+N("If the IBR monthly payment equals the standard monhtly payment, then"),
F85*$C$7+N("The annual interest rate is the previous year's loan principal multiplied by the interest rate")+N("If the condition was not met then..."),
IF(
F84&gt;0+N("IF the student negatively amortized the previous year, then"),
$D$85*$C$7+N("Annual interest is the original loan balance multiplied by the interest rate")+N("If they made a principal payment in the previous year then..."),
F85*$C$7+N("Since the previous year's loan balance must be lower tahn the original loan balance, the annual interest is the previous year's loan balance multiplied by the interest rate")))</f>
        <v>40064.999400000001</v>
      </c>
      <c r="H83" s="19">
        <f t="shared" si="9"/>
        <v>40064.999400000001</v>
      </c>
      <c r="I83" s="19">
        <f t="shared" si="9"/>
        <v>40064.999400000001</v>
      </c>
      <c r="J83" s="19">
        <f t="shared" si="9"/>
        <v>40064.999400000001</v>
      </c>
      <c r="K83" s="19">
        <f t="shared" si="9"/>
        <v>40064.999400000001</v>
      </c>
      <c r="L83" s="19">
        <f t="shared" si="9"/>
        <v>40064.999400000001</v>
      </c>
      <c r="M83" s="19">
        <f t="shared" si="9"/>
        <v>40064.999400000001</v>
      </c>
      <c r="N83" s="19">
        <f t="shared" si="9"/>
        <v>40064.999400000001</v>
      </c>
      <c r="O83" s="19">
        <f t="shared" si="9"/>
        <v>40064.999400000001</v>
      </c>
      <c r="P83" s="19">
        <f t="shared" si="9"/>
        <v>40064.999400000001</v>
      </c>
      <c r="Q83" s="19">
        <f t="shared" si="9"/>
        <v>40064.999400000001</v>
      </c>
      <c r="R83" s="19">
        <f t="shared" si="9"/>
        <v>39928.698835747564</v>
      </c>
      <c r="S83" s="19">
        <f t="shared" si="9"/>
        <v>38767.476187052045</v>
      </c>
      <c r="T83" s="19">
        <f t="shared" si="9"/>
        <v>37390.099355852537</v>
      </c>
      <c r="U83" s="19">
        <f t="shared" si="9"/>
        <v>35776.216778198839</v>
      </c>
      <c r="V83" s="19">
        <f t="shared" si="9"/>
        <v>33903.807536002183</v>
      </c>
      <c r="W83" s="19">
        <f t="shared" si="9"/>
        <v>31749.050474449847</v>
      </c>
      <c r="X83" s="19">
        <f t="shared" si="9"/>
        <v>29286.183227689602</v>
      </c>
      <c r="Y83" s="19">
        <f t="shared" si="9"/>
        <v>26487.350379645737</v>
      </c>
      <c r="Z83" s="19">
        <f t="shared" si="9"/>
        <v>23322.439927745982</v>
      </c>
      <c r="AA83" s="19">
        <f t="shared" si="9"/>
        <v>19758.907153745848</v>
      </c>
      <c r="AB83" s="19">
        <f t="shared" si="9"/>
        <v>15761.584937389563</v>
      </c>
      <c r="AC83" s="19">
        <f t="shared" si="9"/>
        <v>11292.479474973738</v>
      </c>
      <c r="AD83" s="19">
        <f t="shared" si="9"/>
        <v>6414.5586063381443</v>
      </c>
      <c r="AE83" s="19"/>
      <c r="AF83" s="19"/>
      <c r="AG83" s="19"/>
      <c r="AH83" s="19"/>
      <c r="AI83" s="19"/>
    </row>
    <row r="84" spans="1:35" hidden="1" x14ac:dyDescent="0.35">
      <c r="A84" s="1"/>
      <c r="B84" s="91"/>
      <c r="E84" s="96" t="s">
        <v>7</v>
      </c>
      <c r="F84" s="14">
        <f>($C$22*$C$7)-((F96*12)*C28)+N("CNAPP equals the annual interest on unsubs minus the the percentage of the annual IBR payment that would be put towards unsubs")</f>
        <v>27563.072454308014</v>
      </c>
      <c r="G84" s="14">
        <f>IF(
F84=-$C$6+N("IF the principal payment from the previous year equals the original loan balance then"),
0+N("The CAN/PP euals zero, because you have paid of the loan")+N("if CAN/PP does not equal the original loan balance, then..."),
IF(
$C$7=0+N("If the interest rate is zero, then"),
(-(G96*12))+F84+N("CNAPP equals the last year's CNAPP minus whatever the annual IBR payment was")+N("If the interest rate is not zero, then..."),
IF(
G83=0+N("If the annual interest paid equals zero, then..."),
0+N("CNAPP equals zero")+N("If the annual interest rate does not equal zero, then..."),
(($C$22*$C$7)-((G96*12)*$C$28))+F84+N("CNAPP equals the previous CNAPP plus the annual interest on unsubs minus the the percentage of the annual IBR payment that would be put towards unsubs"))))</f>
        <v>51818.807733001624</v>
      </c>
      <c r="H84" s="14">
        <f>IF(
G84=-$C$6+N("IF the principal payment from the previous year equals the original loan balance then"),
0+N("The CAN/PP euals zero, because you have paid of the loan")+N("if CAN/PP does not equal the original loan balance, then..."),
IF(
$C$7=0+N("If the interest rate is zero, then"),
(-(H96*12))+G84+N("CNAPP equals the last year's CNAPP minus whatever the annual IBR payment was")+N("If the interest rate is not zero, then..."),
IF(
H83=0+N("If the annual interest paid equals zero, then..."),
0+N("CNAPP equals zero")+N("If the annual interest rate does not equal zero, then..."),
(($C$22*$C$7)-((H96*12)*$C$28))+G84+N("CNAPP equals the previous CNAPP plus the annual interest on unsubs minus the the percentage of the annual IBR payment that would be put towards unsubs"))))</f>
        <v>66379.369744588359</v>
      </c>
      <c r="I84" s="14">
        <f t="shared" ref="I84:AD84" si="10">IF(
H84=-$C6+N("IF the principal payment from the previous year equals the original loan balance then"),
0+N("The CAN/PP euals zero, because you have paid of the loan")+N("if CAN/PP does not equal the original loan balance, then..."),
IF(
$C7=0+N("If the interest rate is zero, then"),
(-(I96*12))+H84+N("CNAPP equals the last year's CNAPP minus whatever the annual IBR payment was")+N("If the interest rate is not zero, then..."),
IF(
I83=0+N("If the annual interest paid equals zero, then..."),
0+N("CNAPP equals zero")+N("If the annual interest rate does not equal zero, then..."),
I83-(I96*12)+H84+N("CNAPP equals the previous CNAPP plus the annual interest minus the annual IBR payment"))))</f>
        <v>64297.079518977822</v>
      </c>
      <c r="J84" s="14">
        <f t="shared" si="10"/>
        <v>60936.392323764463</v>
      </c>
      <c r="K84" s="14">
        <f t="shared" si="10"/>
        <v>56258.60539501124</v>
      </c>
      <c r="L84" s="14">
        <f t="shared" si="10"/>
        <v>50223.846079406307</v>
      </c>
      <c r="M84" s="14">
        <f t="shared" si="10"/>
        <v>42791.036516539694</v>
      </c>
      <c r="N84" s="14">
        <f t="shared" si="10"/>
        <v>33917.857256100127</v>
      </c>
      <c r="O84" s="14">
        <f t="shared" si="10"/>
        <v>23560.709777900374</v>
      </c>
      <c r="P84" s="14">
        <f t="shared" si="10"/>
        <v>11674.67788167316</v>
      </c>
      <c r="Q84" s="14">
        <f t="shared" si="10"/>
        <v>-1786.5120874155327</v>
      </c>
      <c r="R84" s="14">
        <f t="shared" si="10"/>
        <v>-17006.832776866759</v>
      </c>
      <c r="S84" s="14">
        <f t="shared" si="10"/>
        <v>-35060.318992130364</v>
      </c>
      <c r="T84" s="14">
        <f t="shared" si="10"/>
        <v>-56213.721756536972</v>
      </c>
      <c r="U84" s="14">
        <f t="shared" si="10"/>
        <v>-80755.672570310533</v>
      </c>
      <c r="V84" s="195">
        <f t="shared" si="10"/>
        <v>-108998.39890838883</v>
      </c>
      <c r="W84" s="195">
        <f t="shared" si="10"/>
        <v>-141279.57199207495</v>
      </c>
      <c r="X84" s="14">
        <f t="shared" si="10"/>
        <v>-177964.2969681611</v>
      </c>
      <c r="Y84" s="195">
        <f t="shared" si="10"/>
        <v>-219447.25640356634</v>
      </c>
      <c r="Z84" s="14">
        <f t="shared" si="10"/>
        <v>-266155.01883705042</v>
      </c>
      <c r="AA84" s="195">
        <f t="shared" si="10"/>
        <v>-318548.52502671746</v>
      </c>
      <c r="AB84" s="195">
        <f t="shared" si="10"/>
        <v>-377125.76549766382</v>
      </c>
      <c r="AC84" s="14">
        <f t="shared" si="10"/>
        <v>-441061.41126017342</v>
      </c>
      <c r="AD84" s="14">
        <f t="shared" si="10"/>
        <v>-509874.97789131862</v>
      </c>
      <c r="AE84" s="14"/>
      <c r="AF84" s="14"/>
      <c r="AG84" s="14"/>
      <c r="AH84" s="14"/>
      <c r="AI84" s="14"/>
    </row>
    <row r="85" spans="1:35" ht="16" hidden="1" thickBot="1" x14ac:dyDescent="0.4">
      <c r="A85" s="1"/>
      <c r="B85" s="88" t="s">
        <v>8</v>
      </c>
      <c r="C85" s="89"/>
      <c r="D85" s="97">
        <f>C6</f>
        <v>525138</v>
      </c>
      <c r="E85" s="98" t="s">
        <v>53</v>
      </c>
      <c r="F85" s="14">
        <f>$C$6+F84</f>
        <v>552701.07245430804</v>
      </c>
      <c r="G85" s="14">
        <f t="shared" ref="G85:X85" si="11">IF(
OR(
F85&lt;=0+N("If either the loan balance from the preceding year is less than or equal to zero OR"),
AND(
$C7=0+N("if the interest rate is zero AND"),
(F85-(F96*12))&lt;0+N("The loan balance is less than the annual IBR payment then"))),
0+N("the loan balance equals zero, if these conditions were not satisfied then"),
IF(
($C6+G84)&lt;0+N("If the principal payment is greaterthan the original loan balance then"),
0+N("the loan balance is zero")+N("If not, then"),
IF(
(G121*$C$11)/12&gt;=$C$109+N("If the IBR payment is greater than or equal to the standard payment then"),
(F85*(1+$C$7))-(G96*12)+N("the previous loan balance plus interest minus the annual IBR payment is the new loan balance")+N("If the condition is false then"),
($C6+G84)+N("the new loan balance is the original minus the principal or plus the negative amortization (the plus sign is in the formula because negative amortization is postitive and principal payment is negative in the spreadsheet"))))</f>
        <v>576956.80773300165</v>
      </c>
      <c r="H85" s="14">
        <f t="shared" si="11"/>
        <v>591517.36974458839</v>
      </c>
      <c r="I85" s="14">
        <f t="shared" si="11"/>
        <v>589435.07951897779</v>
      </c>
      <c r="J85" s="14">
        <f t="shared" si="11"/>
        <v>586074.39232376451</v>
      </c>
      <c r="K85" s="14">
        <f t="shared" si="11"/>
        <v>581396.60539501125</v>
      </c>
      <c r="L85" s="14">
        <f t="shared" si="11"/>
        <v>575361.84607940633</v>
      </c>
      <c r="M85" s="14">
        <f t="shared" si="11"/>
        <v>567929.03651653975</v>
      </c>
      <c r="N85" s="14">
        <f t="shared" si="11"/>
        <v>559055.85725610016</v>
      </c>
      <c r="O85" s="14">
        <f t="shared" si="11"/>
        <v>548698.70977790037</v>
      </c>
      <c r="P85" s="14">
        <f t="shared" si="11"/>
        <v>536812.67788167321</v>
      </c>
      <c r="Q85" s="14">
        <f t="shared" si="11"/>
        <v>523351.48791258445</v>
      </c>
      <c r="R85" s="14">
        <f t="shared" si="11"/>
        <v>508131.16722313326</v>
      </c>
      <c r="S85" s="14">
        <f t="shared" si="11"/>
        <v>490077.68100786966</v>
      </c>
      <c r="T85" s="14">
        <f t="shared" si="11"/>
        <v>468924.27824346302</v>
      </c>
      <c r="U85" s="14">
        <f t="shared" si="11"/>
        <v>444382.32742968947</v>
      </c>
      <c r="V85" s="14">
        <f t="shared" si="11"/>
        <v>416139.6010916112</v>
      </c>
      <c r="W85" s="14">
        <f t="shared" si="11"/>
        <v>383858.42800792505</v>
      </c>
      <c r="X85" s="14">
        <f t="shared" si="11"/>
        <v>347173.70303183887</v>
      </c>
      <c r="Y85" s="14">
        <f t="shared" ref="Y85:AD85" si="12">IF(
OR(
X85&lt;=0+N("If either the loan balance from the preceding year is less than or equal to zero OR"),
AND(
Y73&gt;20+N("IT is later than teh 20th year AND"),
$C$11=0.1+N("Percentage as share is 10 percent OR")),
AND(
$C7=0+N("if the interest rate is zero AND"),
(X85-(X96*12))&lt;0+N("The loan balance is less than the annual IBR payment then"))),
0+N("the loan balance equals zero, if these conditions were not satisfied then"),
IF(
($C6+Y84)&lt;0+N("If the principal payment is greaterthan the original loan balance then"),
0+N("the loan balance is zero")+N("If not, then"),
IF(
(Y121*$C$11)/12&gt;=$C$109+N("If the IBR payment is greater than or equal to the standard payment then"),
(X85*(1+$C$7))-(Y96*12)+N("the previous loan balance plus interest minus the annual IBR payment is the new loan balance")+N("If the condition is false then"),
($C6+Y84)+N("the new loan balance is the original minus the principal or plus the negative amortization (the plus sign is in the formula because negative amortization is postitive and principal payment is negative in the spreadsheet"))))</f>
        <v>305690.74359643366</v>
      </c>
      <c r="Z85" s="14">
        <f t="shared" si="12"/>
        <v>258982.98116294958</v>
      </c>
      <c r="AA85" s="14">
        <f t="shared" si="12"/>
        <v>206589.47497328254</v>
      </c>
      <c r="AB85" s="14">
        <f t="shared" si="12"/>
        <v>148012.23450233618</v>
      </c>
      <c r="AC85" s="14">
        <f t="shared" si="12"/>
        <v>84076.58873982662</v>
      </c>
      <c r="AD85" s="14">
        <f t="shared" si="12"/>
        <v>15263.022108681456</v>
      </c>
      <c r="AE85" s="14"/>
      <c r="AF85" s="14"/>
      <c r="AG85" s="14"/>
      <c r="AH85" s="14"/>
      <c r="AI85" s="14"/>
    </row>
    <row r="86" spans="1:35" ht="16" hidden="1" thickBot="1" x14ac:dyDescent="0.4">
      <c r="A86" s="1"/>
      <c r="B86" s="2"/>
      <c r="D86" s="77"/>
      <c r="E86" s="77"/>
      <c r="AE86" s="9"/>
    </row>
    <row r="87" spans="1:35" hidden="1" x14ac:dyDescent="0.35">
      <c r="A87" s="1"/>
      <c r="B87" s="2"/>
      <c r="C87" s="99">
        <f>SUM(F87:Y87)</f>
        <v>643375.11458254047</v>
      </c>
      <c r="D87" s="106"/>
      <c r="E87" s="95" t="s">
        <v>51</v>
      </c>
      <c r="F87" s="14">
        <f>F92*12</f>
        <v>5994.5</v>
      </c>
      <c r="G87" s="14">
        <f>IF(
F90=0+N("If the preceding year's loan balance is zero then"),
0+N("the current IBR payment is zero")+N("If the condition is not met then"),
IF(
AND(
G90=0+N("If this year's loan balance will be zero AND"),
I90=0+N("two year's from now it will be zero, then")),
F90+N("this is the last year of payment, and therefore the total payment made this year will simply be the remaining loan balance from last year")+N("If not then"),
G92*12+N("The monthly IBR payment multiplied by twelve")))</f>
        <v>8480.1859499999991</v>
      </c>
      <c r="H87" s="14">
        <f>IF(
G90=0+N("If the preceding year's loan balance is zero then"),
0+N("the current IBR payment is zero")+N("If the condition is not met then"),
IF(
AND(
H90=0+N("If this year's loan balance will be zero AND"),
J90=0+N("two year's from now it will be zero, then")),
G90+N("this is the last year of payment, and therefore the total payment made this year will simply be the remaining loan balance from last year")+N("If not then"),
H92*12+N("The monthly IBR payment multiplied by twelve")))</f>
        <v>15766.759617345</v>
      </c>
      <c r="I87" s="14">
        <f>IF(
H90=0+N("If the preceding year's loan balance is zero then"),
0+N("the current IBR payment is zero")+N("If the condition is not met then"),
IF(
AND(
I90=0+N("If this year's loan balance will be zero AND"),
K90=0+N("two year's from now it will be zero, then")),
H90+N("this is the last year of payment, and therefore the total payment made this year will simply be the remaining loan balance from last year")+N("If not then"),
I92*12+N("The monthly IBR payment multiplied by twelve")))</f>
        <v>28098.19308374036</v>
      </c>
      <c r="J87" s="14">
        <f t="shared" ref="J87:AD87" si="13">IF(
I90=0+N("If the preceding year's loan balance is zero then"),
0+N("the current IBR payment is zero")+N("If the condition is not met then"),
IF(
AND(
J90=0+N("If this year's loan balance will be zero AND"),
L90=0+N("two year's from now it will be zero, then")),
I90+N("this is the last year of payment, and therefore the total payment made this year will simply be the remaining loan balance from last year")+N("If not then"),
J92*12+N("The monthly IBR payment multiplied by twelve")))</f>
        <v>28950.457730142243</v>
      </c>
      <c r="K87" s="14">
        <f t="shared" si="13"/>
        <v>29828.524219168816</v>
      </c>
      <c r="L87" s="14">
        <f t="shared" si="13"/>
        <v>30733.172477069958</v>
      </c>
      <c r="M87" s="14">
        <f t="shared" si="13"/>
        <v>31665.205975244411</v>
      </c>
      <c r="N87" s="14">
        <f t="shared" si="13"/>
        <v>32625.452440293047</v>
      </c>
      <c r="O87" s="14">
        <f t="shared" si="13"/>
        <v>33614.764585466502</v>
      </c>
      <c r="P87" s="14">
        <f t="shared" si="13"/>
        <v>34634.020864151476</v>
      </c>
      <c r="Q87" s="14">
        <f t="shared" si="13"/>
        <v>35684.126246059132</v>
      </c>
      <c r="R87" s="14">
        <f t="shared" si="13"/>
        <v>36766.013016799196</v>
      </c>
      <c r="S87" s="14">
        <f t="shared" si="13"/>
        <v>37880.641601543764</v>
      </c>
      <c r="T87" s="14">
        <f t="shared" si="13"/>
        <v>39029.001413506099</v>
      </c>
      <c r="U87" s="14">
        <f t="shared" si="13"/>
        <v>40212.111727981595</v>
      </c>
      <c r="V87" s="14">
        <f t="shared" si="13"/>
        <v>41431.022582720325</v>
      </c>
      <c r="W87" s="14">
        <f t="shared" si="13"/>
        <v>42686.815705423993</v>
      </c>
      <c r="X87" s="14">
        <f t="shared" si="13"/>
        <v>43980.605469183836</v>
      </c>
      <c r="Y87" s="14">
        <f t="shared" si="13"/>
        <v>45313.53987670067</v>
      </c>
      <c r="Z87" s="14"/>
      <c r="AA87" s="14">
        <f t="shared" si="13"/>
        <v>0</v>
      </c>
      <c r="AB87" s="14">
        <f t="shared" si="13"/>
        <v>0</v>
      </c>
      <c r="AC87" s="14">
        <f t="shared" si="13"/>
        <v>0</v>
      </c>
      <c r="AD87" s="14">
        <f t="shared" si="13"/>
        <v>0</v>
      </c>
      <c r="AE87" s="9"/>
    </row>
    <row r="88" spans="1:35" hidden="1" x14ac:dyDescent="0.35">
      <c r="A88" s="1"/>
      <c r="B88" s="2"/>
      <c r="C88" s="91"/>
      <c r="D88" s="77"/>
      <c r="E88" s="96" t="s">
        <v>52</v>
      </c>
      <c r="F88" s="14">
        <f>D85*C7</f>
        <v>40064.999400000001</v>
      </c>
      <c r="G88" s="14">
        <f t="shared" ref="G88:Y88" si="14">IF(
F92=$F$109+N("If the IBR monthly payment equals the standard monhtly payment, then"),
F90*$C$7+N("The annual interest rate is the previous year's loan principal multiplied by the interest rate")+N("If the condition was not met then..."),
IF(
F89&gt;0+N("IF the student negatively amortized the previous year, then"),
$D$85*$C$7+N("Annual interest is the original loan balance multiplied by the interest rate")+N("If they made a principal payment in the previous year then..."),
F90*$C$7+N("Since the previous year's loan balance must be lower tahn the original loan balance, the annual interest is the previous year's loan balance multiplied by the interest rate")))</f>
        <v>40064.999400000001</v>
      </c>
      <c r="H88" s="14">
        <f t="shared" si="14"/>
        <v>40064.999400000001</v>
      </c>
      <c r="I88" s="14">
        <f t="shared" si="14"/>
        <v>40064.999400000001</v>
      </c>
      <c r="J88" s="14">
        <f t="shared" si="14"/>
        <v>40064.999400000001</v>
      </c>
      <c r="K88" s="14">
        <f t="shared" si="14"/>
        <v>40064.999400000001</v>
      </c>
      <c r="L88" s="14">
        <f t="shared" si="14"/>
        <v>40064.999400000001</v>
      </c>
      <c r="M88" s="14">
        <f t="shared" si="14"/>
        <v>40064.999400000001</v>
      </c>
      <c r="N88" s="14">
        <f t="shared" si="14"/>
        <v>40064.999400000001</v>
      </c>
      <c r="O88" s="14">
        <f t="shared" si="14"/>
        <v>40064.999400000001</v>
      </c>
      <c r="P88" s="14">
        <f t="shared" si="14"/>
        <v>40064.999400000001</v>
      </c>
      <c r="Q88" s="14">
        <f t="shared" si="14"/>
        <v>40064.999400000001</v>
      </c>
      <c r="R88" s="14">
        <f t="shared" si="14"/>
        <v>40064.999400000001</v>
      </c>
      <c r="S88" s="14">
        <f t="shared" si="14"/>
        <v>40064.999400000001</v>
      </c>
      <c r="T88" s="14">
        <f t="shared" si="14"/>
        <v>40064.999400000001</v>
      </c>
      <c r="U88" s="14">
        <f t="shared" si="14"/>
        <v>40064.999400000001</v>
      </c>
      <c r="V88" s="14">
        <f t="shared" si="14"/>
        <v>40064.999400000001</v>
      </c>
      <c r="W88" s="14">
        <f t="shared" si="14"/>
        <v>40064.999400000001</v>
      </c>
      <c r="X88" s="14">
        <f t="shared" si="14"/>
        <v>40064.999400000001</v>
      </c>
      <c r="Y88" s="14">
        <f t="shared" si="14"/>
        <v>40064.999400000001</v>
      </c>
      <c r="Z88" s="14"/>
      <c r="AA88" s="14"/>
      <c r="AB88" s="14"/>
      <c r="AC88" s="14"/>
      <c r="AD88" s="14"/>
      <c r="AE88" s="9"/>
    </row>
    <row r="89" spans="1:35" hidden="1" x14ac:dyDescent="0.35">
      <c r="A89" s="1"/>
      <c r="B89" s="2"/>
      <c r="C89" s="91"/>
      <c r="D89" s="77"/>
      <c r="E89" s="96" t="s">
        <v>80</v>
      </c>
      <c r="F89" s="14">
        <f>($C$22*$C$7)-((F92*12)*C28)+N("CNAPP equals the annual interest on unsubs minus the the percentage of the annual IBR payment that would be put towards unsubs")</f>
        <v>30221.73933044343</v>
      </c>
      <c r="G89" s="14">
        <f>IF(
F89=-$C$6+N("IF the principal payment from the previous year equals the original loan balance then"),
0+N("The CAN/PP euals zero, because you have paid of the loan")+N("if CAN/PP does not equal the original loan balance, then..."),
IF(
$C$7=0+N("If the interest rate is zero, then"),
(-(G92*12))+F89+N("CNAPP equals the last year's CNAPP minus whatever the annual IBR payment was")+N("If the interest rate is not zero, then..."),
IF(
G88=0+N("If the annual interest paid equals zero, then..."),
0+N("CNAPP equals zero")+N("If the annual interest rate does not equal zero, then..."),
(($C$22*$C$7)-((G127*12)*$C$28))+F125+N("CNAPP equals the previous CNAPP plus the annual interest on unsubs minus the the percentage of the annual IBR payment that would be put towards unsubs"))))</f>
        <v>43127.717545255538</v>
      </c>
      <c r="H89" s="14">
        <f>IF(
G89=-$C$6+N("IF the principal payment from the previous year equals the original loan balance then"),
0+N("The CAN/PP euals zero, because you have paid of the loan")+N("if CAN/PP does not equal the original loan balance, then..."),
IF(
$C$7=0+N("If the interest rate is zero, then"),
(-(H92*12))+G89+N("CNAPP equals the last year's CNAPP minus whatever the annual IBR payment was")+N("If the interest rate is not zero, then..."),
IF(
H88=0+N("If the annual interest paid equals zero, then..."),
0+N("CNAPP equals zero")+N("If the annual interest rate does not equal zero, then..."),
(($C$22*$C$7)-((H92*12)*$C$28))+G89+N("CNAPP equals the previous CNAPP plus the annual interest on unsubs minus the the percentage of the annual IBR payment that would be put towards unsubs"))))</f>
        <v>64681.116580551447</v>
      </c>
      <c r="I89" s="14">
        <f t="shared" ref="I89:Y89" si="15">IF(
H89=-$C6+N("IF the principal payment from the previous year equals the original loan balance then"),
0+N("The CAN/PP euals zero, because you have paid of the loan")+N("if CAN/PP does not equal the original loan balance, then..."),
IF(
$C7=0+N("If the interest rate is zero, then"),
(-(I92*12))+H89+N("CNAPP equals the last year's CNAPP minus whatever the annual IBR payment was")+N("If the interest rate is not zero, then..."),
IF(
I88=0+N("If the annual interest paid equals zero, then..."),
0+N("CNAPP equals zero")+N("If the annual interest rate does not equal zero, then..."),
I88-(I92*12)+H89+N("CNAPP equals the previous CNAPP plus the annual interest minus the annual IBR payment"))))</f>
        <v>76647.922896811084</v>
      </c>
      <c r="J89" s="14">
        <f t="shared" si="15"/>
        <v>87762.464566668845</v>
      </c>
      <c r="K89" s="14">
        <f>IF(
J89=-$C6+N("IF the principal payment from the previous year equals the original loan balance then"),
0+N("The CAN/PP euals zero, because you have paid of the loan")+N("if CAN/PP does not equal the original loan balance, then..."),
IF(
$C7=0+N("If the interest rate is zero, then"),
(-(K92*12))+J89+N("CNAPP equals the last year's CNAPP minus whatever the annual IBR payment was")+N("If the interest rate is not zero, then..."),
IF(
K88=0+N("If the annual interest paid equals zero, then..."),
0+N("CNAPP equals zero")+N("If the annual interest rate does not equal zero, then..."),
K88-(K92*12)+J89+N("CNAPP equals the previous CNAPP plus the annual interest minus the annual IBR payment"))))</f>
        <v>97998.93974750003</v>
      </c>
      <c r="L89" s="14">
        <f t="shared" si="15"/>
        <v>107330.76667043008</v>
      </c>
      <c r="M89" s="14">
        <f t="shared" si="15"/>
        <v>115730.56009518568</v>
      </c>
      <c r="N89" s="14">
        <f t="shared" si="15"/>
        <v>123170.10705489264</v>
      </c>
      <c r="O89" s="14">
        <f t="shared" si="15"/>
        <v>129620.34186942613</v>
      </c>
      <c r="P89" s="14">
        <f t="shared" si="15"/>
        <v>135051.32040527466</v>
      </c>
      <c r="Q89" s="14">
        <f t="shared" si="15"/>
        <v>139432.19355921552</v>
      </c>
      <c r="R89" s="14">
        <f t="shared" si="15"/>
        <v>142731.17994241632</v>
      </c>
      <c r="S89" s="14">
        <f t="shared" si="15"/>
        <v>144915.53774087256</v>
      </c>
      <c r="T89" s="14">
        <f t="shared" si="15"/>
        <v>145951.53572736646</v>
      </c>
      <c r="U89" s="14">
        <f t="shared" si="15"/>
        <v>145804.42339938486</v>
      </c>
      <c r="V89" s="14">
        <f t="shared" si="15"/>
        <v>144438.40021666454</v>
      </c>
      <c r="W89" s="14">
        <f t="shared" si="15"/>
        <v>141816.58391124054</v>
      </c>
      <c r="X89" s="14">
        <f t="shared" si="15"/>
        <v>137900.97784205672</v>
      </c>
      <c r="Y89" s="14">
        <f t="shared" si="15"/>
        <v>132652.43736535605</v>
      </c>
      <c r="Z89" s="14"/>
      <c r="AA89" s="14"/>
      <c r="AB89" s="14"/>
      <c r="AC89" s="14"/>
      <c r="AD89" s="14"/>
      <c r="AE89" s="9"/>
    </row>
    <row r="90" spans="1:35" ht="16" hidden="1" thickBot="1" x14ac:dyDescent="0.4">
      <c r="A90" s="1"/>
      <c r="B90" s="2"/>
      <c r="C90" s="88"/>
      <c r="D90" s="101"/>
      <c r="E90" s="102" t="s">
        <v>53</v>
      </c>
      <c r="F90" s="14">
        <f>$C$6+F89</f>
        <v>555359.73933044344</v>
      </c>
      <c r="G90" s="14">
        <f t="shared" ref="G90:Y90" si="16">IF(
OR(
F90&lt;=0+N("If either the loan balance from the preceding year is less than or equal to zero OR"),
AND(
$C7=0+N("if the interest rate is zero AND"),
(F90-(F92*12))&lt;0+N("The loan balance is less than the annual IBR payment then"))),
0+N("the loan balance equals zero, if these conditions were not satisfied then"),
IF(
($C6+G89)&lt;0+N("If the principal payment is greaterthan the original loan balance then"),
0+N("the loan balance is zero")+N("If not, then"),
IF(
(G121*$C$11)/12&gt;=$C$109+N("If the IBR payment is greater than or equal to the standard payment then"),
(F90*(1+$C$7))-(G92*12)+N("the previous loan balance plus interest minus the annual IBR payment is the new loan balance")+N("If the condition is false then"),
($C6+G89)+N("the new loan balance is the original minus the principal or plus the negative amortization (the plus sign is in the formula because negative amortization is postitive and principal payment is negative in the spreadsheet"))))</f>
        <v>568265.71754525555</v>
      </c>
      <c r="H90" s="14">
        <f t="shared" si="16"/>
        <v>589819.11658055149</v>
      </c>
      <c r="I90" s="14">
        <f t="shared" si="16"/>
        <v>601785.92289681104</v>
      </c>
      <c r="J90" s="14">
        <f t="shared" si="16"/>
        <v>612900.46456666884</v>
      </c>
      <c r="K90" s="14">
        <f t="shared" si="16"/>
        <v>623136.9397475</v>
      </c>
      <c r="L90" s="14">
        <f t="shared" si="16"/>
        <v>632468.76667043008</v>
      </c>
      <c r="M90" s="14">
        <f t="shared" si="16"/>
        <v>640868.56009518565</v>
      </c>
      <c r="N90" s="14">
        <f t="shared" si="16"/>
        <v>648308.10705489269</v>
      </c>
      <c r="O90" s="14">
        <f t="shared" si="16"/>
        <v>654758.34186942619</v>
      </c>
      <c r="P90" s="14">
        <f t="shared" si="16"/>
        <v>660189.32040527463</v>
      </c>
      <c r="Q90" s="14">
        <f t="shared" si="16"/>
        <v>664570.19355921552</v>
      </c>
      <c r="R90" s="14">
        <f t="shared" si="16"/>
        <v>667869.17994241626</v>
      </c>
      <c r="S90" s="14">
        <f t="shared" si="16"/>
        <v>670053.53774087259</v>
      </c>
      <c r="T90" s="14">
        <f t="shared" si="16"/>
        <v>671089.53572736646</v>
      </c>
      <c r="U90" s="14">
        <f t="shared" si="16"/>
        <v>670942.42339938483</v>
      </c>
      <c r="V90" s="14">
        <f t="shared" si="16"/>
        <v>669576.40021666454</v>
      </c>
      <c r="W90" s="14">
        <f t="shared" si="16"/>
        <v>666954.58391124057</v>
      </c>
      <c r="X90" s="14">
        <f t="shared" si="16"/>
        <v>663038.97784205666</v>
      </c>
      <c r="Y90" s="14">
        <f t="shared" si="16"/>
        <v>657790.43736535602</v>
      </c>
      <c r="Z90" s="14"/>
      <c r="AA90" s="14"/>
      <c r="AB90" s="14"/>
      <c r="AC90" s="14"/>
      <c r="AD90" s="14"/>
      <c r="AE90" s="9"/>
    </row>
    <row r="91" spans="1:35" ht="16" hidden="1" thickBot="1" x14ac:dyDescent="0.4">
      <c r="A91" s="1"/>
      <c r="B91" s="2"/>
      <c r="D91" s="77"/>
      <c r="E91" s="29"/>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9"/>
    </row>
    <row r="92" spans="1:35" hidden="1" x14ac:dyDescent="0.35">
      <c r="A92" s="1"/>
      <c r="B92" s="2" t="s">
        <v>87</v>
      </c>
      <c r="C92" s="85"/>
      <c r="D92" s="106"/>
      <c r="E92" s="103" t="s">
        <v>92</v>
      </c>
      <c r="F92" s="14">
        <f>IF((F121*0.1)/12&lt;=0,0,IF(((F121*0.1)/12)&lt;($D$81/12),((F121*0.1)/12),"Ineligible"))</f>
        <v>499.54166666666669</v>
      </c>
      <c r="G92" s="14">
        <f t="shared" ref="G92:Y92" si="17">IF($F$92="Ineligible","",
IF($C$6=0,"",
IF(
G73&gt;20+N("IT is later than teh 20th year"),
0,
IF(
F90=0,
0+N("If loan balance from the preceding year is zero then IBR payment is zero, if not then"),
IF(
(G121*0.1)/12&lt;0,
0+N(""),
IF(
((G121*0.1)/12)&lt;($D$81/12)+N("If the IBR payment is less than the standard"),
((G121*0.1)/12)+N("Then the IBR payment"),
$F$109+N("If IBR is greater or equal to teh standard, then the standard plan")))))))</f>
        <v>706.68216249999989</v>
      </c>
      <c r="H92" s="14">
        <f t="shared" si="17"/>
        <v>1313.89663477875</v>
      </c>
      <c r="I92" s="14">
        <f t="shared" si="17"/>
        <v>2341.5160903116966</v>
      </c>
      <c r="J92" s="14">
        <f t="shared" si="17"/>
        <v>2412.5381441785203</v>
      </c>
      <c r="K92" s="14">
        <f t="shared" si="17"/>
        <v>2485.7103515974013</v>
      </c>
      <c r="L92" s="14">
        <f t="shared" si="17"/>
        <v>2561.0977064224967</v>
      </c>
      <c r="M92" s="14">
        <f t="shared" si="17"/>
        <v>2638.7671646037011</v>
      </c>
      <c r="N92" s="14">
        <f t="shared" si="17"/>
        <v>2718.7877033577538</v>
      </c>
      <c r="O92" s="14">
        <f t="shared" si="17"/>
        <v>2801.2303821222085</v>
      </c>
      <c r="P92" s="14">
        <f t="shared" si="17"/>
        <v>2886.1684053459562</v>
      </c>
      <c r="Q92" s="14">
        <f t="shared" si="17"/>
        <v>2973.6771871715941</v>
      </c>
      <c r="R92" s="14">
        <f t="shared" si="17"/>
        <v>3063.8344180665995</v>
      </c>
      <c r="S92" s="14">
        <f t="shared" si="17"/>
        <v>3156.7201334619804</v>
      </c>
      <c r="T92" s="14">
        <f t="shared" si="17"/>
        <v>3252.4167844588414</v>
      </c>
      <c r="U92" s="14">
        <f t="shared" si="17"/>
        <v>3351.0093106651329</v>
      </c>
      <c r="V92" s="14">
        <f t="shared" si="17"/>
        <v>3452.5852152266939</v>
      </c>
      <c r="W92" s="14">
        <f t="shared" si="17"/>
        <v>3557.2346421186662</v>
      </c>
      <c r="X92" s="14">
        <f t="shared" si="17"/>
        <v>3665.0504557653198</v>
      </c>
      <c r="Y92" s="14">
        <f t="shared" si="17"/>
        <v>3776.128323058389</v>
      </c>
      <c r="Z92" s="14"/>
      <c r="AA92" s="14"/>
      <c r="AB92" s="14"/>
      <c r="AC92" s="14"/>
      <c r="AD92" s="14"/>
      <c r="AE92" s="9"/>
    </row>
    <row r="93" spans="1:35" ht="16" hidden="1" thickBot="1" x14ac:dyDescent="0.4">
      <c r="A93" s="1"/>
      <c r="B93" s="2"/>
      <c r="C93" s="88"/>
      <c r="D93" s="101"/>
      <c r="E93" s="102" t="s">
        <v>28</v>
      </c>
      <c r="F93" s="14">
        <f t="shared" ref="F93:Y93" si="18">IF($F$92="Ineligible","",IF($C$6=0,"",F90))</f>
        <v>555359.73933044344</v>
      </c>
      <c r="G93" s="14">
        <f t="shared" si="18"/>
        <v>568265.71754525555</v>
      </c>
      <c r="H93" s="14">
        <f t="shared" si="18"/>
        <v>589819.11658055149</v>
      </c>
      <c r="I93" s="14">
        <f t="shared" si="18"/>
        <v>601785.92289681104</v>
      </c>
      <c r="J93" s="14">
        <f t="shared" si="18"/>
        <v>612900.46456666884</v>
      </c>
      <c r="K93" s="14">
        <f t="shared" si="18"/>
        <v>623136.9397475</v>
      </c>
      <c r="L93" s="14">
        <f t="shared" si="18"/>
        <v>632468.76667043008</v>
      </c>
      <c r="M93" s="14">
        <f t="shared" si="18"/>
        <v>640868.56009518565</v>
      </c>
      <c r="N93" s="14">
        <f t="shared" si="18"/>
        <v>648308.10705489269</v>
      </c>
      <c r="O93" s="14">
        <f t="shared" si="18"/>
        <v>654758.34186942619</v>
      </c>
      <c r="P93" s="14">
        <f t="shared" si="18"/>
        <v>660189.32040527463</v>
      </c>
      <c r="Q93" s="14">
        <f t="shared" si="18"/>
        <v>664570.19355921552</v>
      </c>
      <c r="R93" s="14">
        <f t="shared" si="18"/>
        <v>667869.17994241626</v>
      </c>
      <c r="S93" s="14">
        <f t="shared" si="18"/>
        <v>670053.53774087259</v>
      </c>
      <c r="T93" s="14">
        <f t="shared" si="18"/>
        <v>671089.53572736646</v>
      </c>
      <c r="U93" s="14">
        <f t="shared" si="18"/>
        <v>670942.42339938483</v>
      </c>
      <c r="V93" s="14">
        <f t="shared" si="18"/>
        <v>669576.40021666454</v>
      </c>
      <c r="W93" s="14">
        <f t="shared" si="18"/>
        <v>666954.58391124057</v>
      </c>
      <c r="X93" s="14">
        <f t="shared" si="18"/>
        <v>663038.97784205666</v>
      </c>
      <c r="Y93" s="14">
        <f t="shared" si="18"/>
        <v>657790.43736535602</v>
      </c>
      <c r="Z93" s="14"/>
      <c r="AA93" s="14"/>
      <c r="AB93" s="14"/>
      <c r="AC93" s="14"/>
      <c r="AD93" s="14"/>
      <c r="AE93" s="9"/>
    </row>
    <row r="94" spans="1:35" s="8" customFormat="1" hidden="1" x14ac:dyDescent="0.35">
      <c r="B94" s="46"/>
      <c r="D94" s="74"/>
      <c r="E94" s="74"/>
      <c r="AE94" s="22"/>
    </row>
    <row r="95" spans="1:35" ht="16" hidden="1" thickBot="1" x14ac:dyDescent="0.4">
      <c r="A95" s="1"/>
      <c r="B95" s="2"/>
      <c r="D95" s="77"/>
      <c r="E95" s="77"/>
      <c r="AE95" s="9"/>
    </row>
    <row r="96" spans="1:35" x14ac:dyDescent="0.35">
      <c r="A96" s="1"/>
      <c r="B96" s="29"/>
      <c r="C96" s="280" t="s">
        <v>78</v>
      </c>
      <c r="D96" s="281"/>
      <c r="E96" s="282"/>
      <c r="F96" s="14">
        <f>IF((F121*$C$11)/12&lt;=0,0,IF(((F121*$C$11)/12)&lt;($D$81/12),((F121*$C$11)/12),"Ineligible"))</f>
        <v>749.3125</v>
      </c>
      <c r="G96" s="14">
        <f t="shared" ref="G96:AD96" si="19">IF($F$96="Ineligible","",
IF($C$6=0,"",
IF(
AND(
G73&gt;20+N("IT is later than teh 20th year AND"),
$C$11=0.1+N("Percentage as share is 10 percent THEN")),
0,
IF(
F85=0,
0+N("If loan balance from the preceding year is zero then IBR payment is zero, if not then"),
IF(
(G121*$C$11)/12&lt;0,
0+N(""),
IF(
((G121*$C$11)/12)&lt;($D$81/12)+N("If the IBR payment is less than the standard"),
((G121*$C$11)/12)+N("Then the IBR payment"),
$F$109+N("If IBR is greater or equal to teh standard, then the standard plan")))))))</f>
        <v>1060.0232437499999</v>
      </c>
      <c r="H96" s="14">
        <f t="shared" si="19"/>
        <v>1970.844952168125</v>
      </c>
      <c r="I96" s="14">
        <f t="shared" si="19"/>
        <v>3512.274135467545</v>
      </c>
      <c r="J96" s="14">
        <f t="shared" si="19"/>
        <v>3618.8072162677799</v>
      </c>
      <c r="K96" s="14">
        <f t="shared" si="19"/>
        <v>3728.565527396102</v>
      </c>
      <c r="L96" s="14">
        <f t="shared" si="19"/>
        <v>3841.6465596337443</v>
      </c>
      <c r="M96" s="14">
        <f t="shared" si="19"/>
        <v>3958.1507469055509</v>
      </c>
      <c r="N96" s="14">
        <f t="shared" si="19"/>
        <v>4078.1815550366305</v>
      </c>
      <c r="O96" s="14">
        <f t="shared" si="19"/>
        <v>4201.8455731833128</v>
      </c>
      <c r="P96" s="14">
        <f t="shared" si="19"/>
        <v>4329.2526080189346</v>
      </c>
      <c r="Q96" s="14">
        <f t="shared" si="19"/>
        <v>4460.5157807573914</v>
      </c>
      <c r="R96" s="14">
        <f t="shared" si="19"/>
        <v>4595.7516270998995</v>
      </c>
      <c r="S96" s="14">
        <f t="shared" si="19"/>
        <v>4735.0802001929706</v>
      </c>
      <c r="T96" s="14">
        <f t="shared" si="19"/>
        <v>4878.6251766882624</v>
      </c>
      <c r="U96" s="14">
        <f t="shared" si="19"/>
        <v>5026.5139659976994</v>
      </c>
      <c r="V96" s="14">
        <f t="shared" si="19"/>
        <v>5178.8778228400406</v>
      </c>
      <c r="W96" s="14">
        <f t="shared" si="19"/>
        <v>5335.8519631779982</v>
      </c>
      <c r="X96" s="14">
        <f t="shared" si="19"/>
        <v>5497.5756836479786</v>
      </c>
      <c r="Y96" s="14">
        <f t="shared" si="19"/>
        <v>5664.1924845875828</v>
      </c>
      <c r="Z96" s="14">
        <f t="shared" si="19"/>
        <v>5835.8501967691709</v>
      </c>
      <c r="AA96" s="14">
        <f t="shared" si="19"/>
        <v>6012.7011119510717</v>
      </c>
      <c r="AB96" s="14">
        <f t="shared" si="19"/>
        <v>6194.9021173613282</v>
      </c>
      <c r="AC96" s="14">
        <f t="shared" si="19"/>
        <v>6269.0104364569424</v>
      </c>
      <c r="AD96" s="14">
        <f t="shared" si="19"/>
        <v>6269.0104364569424</v>
      </c>
      <c r="AE96" s="14"/>
      <c r="AF96" s="14"/>
      <c r="AG96" s="14"/>
      <c r="AH96" s="14"/>
      <c r="AI96" s="14"/>
    </row>
    <row r="97" spans="1:35" hidden="1" x14ac:dyDescent="0.35">
      <c r="A97" s="1"/>
      <c r="B97" s="2"/>
      <c r="C97" s="291" t="s">
        <v>28</v>
      </c>
      <c r="D97" s="290"/>
      <c r="E97" s="292"/>
      <c r="F97" s="14">
        <f t="shared" ref="F97:AD97" si="20">IF($F$96="Ineligible","",IF($C$6=0,"",F85))</f>
        <v>552701.07245430804</v>
      </c>
      <c r="G97" s="14">
        <f t="shared" si="20"/>
        <v>576956.80773300165</v>
      </c>
      <c r="H97" s="14">
        <f t="shared" si="20"/>
        <v>591517.36974458839</v>
      </c>
      <c r="I97" s="14">
        <f t="shared" si="20"/>
        <v>589435.07951897779</v>
      </c>
      <c r="J97" s="14">
        <f t="shared" si="20"/>
        <v>586074.39232376451</v>
      </c>
      <c r="K97" s="14">
        <f t="shared" si="20"/>
        <v>581396.60539501125</v>
      </c>
      <c r="L97" s="14">
        <f t="shared" si="20"/>
        <v>575361.84607940633</v>
      </c>
      <c r="M97" s="14">
        <f t="shared" si="20"/>
        <v>567929.03651653975</v>
      </c>
      <c r="N97" s="14">
        <f t="shared" si="20"/>
        <v>559055.85725610016</v>
      </c>
      <c r="O97" s="14">
        <f t="shared" si="20"/>
        <v>548698.70977790037</v>
      </c>
      <c r="P97" s="14">
        <f t="shared" si="20"/>
        <v>536812.67788167321</v>
      </c>
      <c r="Q97" s="14">
        <f t="shared" si="20"/>
        <v>523351.48791258445</v>
      </c>
      <c r="R97" s="14">
        <f t="shared" si="20"/>
        <v>508131.16722313326</v>
      </c>
      <c r="S97" s="14">
        <f t="shared" si="20"/>
        <v>490077.68100786966</v>
      </c>
      <c r="T97" s="14">
        <f t="shared" si="20"/>
        <v>468924.27824346302</v>
      </c>
      <c r="U97" s="14">
        <f t="shared" si="20"/>
        <v>444382.32742968947</v>
      </c>
      <c r="V97" s="14">
        <f t="shared" si="20"/>
        <v>416139.6010916112</v>
      </c>
      <c r="W97" s="14">
        <f t="shared" si="20"/>
        <v>383858.42800792505</v>
      </c>
      <c r="X97" s="14">
        <f t="shared" si="20"/>
        <v>347173.70303183887</v>
      </c>
      <c r="Y97" s="14">
        <f t="shared" si="20"/>
        <v>305690.74359643366</v>
      </c>
      <c r="Z97" s="14">
        <f t="shared" si="20"/>
        <v>258982.98116294958</v>
      </c>
      <c r="AA97" s="14">
        <f t="shared" si="20"/>
        <v>206589.47497328254</v>
      </c>
      <c r="AB97" s="14">
        <f t="shared" si="20"/>
        <v>148012.23450233618</v>
      </c>
      <c r="AC97" s="14">
        <f t="shared" si="20"/>
        <v>84076.58873982662</v>
      </c>
      <c r="AD97" s="14">
        <f t="shared" si="20"/>
        <v>15263.022108681456</v>
      </c>
      <c r="AE97" s="14"/>
      <c r="AF97" s="14"/>
      <c r="AG97" s="14"/>
      <c r="AH97" s="14"/>
      <c r="AI97" s="14"/>
    </row>
    <row r="98" spans="1:35" hidden="1" x14ac:dyDescent="0.35">
      <c r="A98" s="1"/>
      <c r="B98" s="2"/>
      <c r="C98" s="248"/>
      <c r="D98" s="78"/>
      <c r="E98" s="131"/>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row>
    <row r="99" spans="1:35" hidden="1" x14ac:dyDescent="0.35">
      <c r="A99" s="1"/>
      <c r="B99" s="18"/>
      <c r="C99" s="293"/>
      <c r="D99" s="289"/>
      <c r="E99" s="29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row>
    <row r="100" spans="1:35" hidden="1" x14ac:dyDescent="0.35">
      <c r="A100" s="1"/>
      <c r="B100" s="2"/>
      <c r="C100" s="291"/>
      <c r="D100" s="290"/>
      <c r="E100" s="292"/>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row>
    <row r="101" spans="1:35" hidden="1" x14ac:dyDescent="0.35">
      <c r="A101" s="1"/>
      <c r="B101" s="2"/>
      <c r="C101" s="91"/>
      <c r="D101" s="8"/>
      <c r="E101" s="131"/>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row>
    <row r="102" spans="1:35" hidden="1" x14ac:dyDescent="0.35">
      <c r="A102" s="1"/>
      <c r="B102" s="29"/>
      <c r="C102" s="276" t="s">
        <v>29</v>
      </c>
      <c r="D102" s="277"/>
      <c r="E102" s="278"/>
      <c r="F102" s="14">
        <f t="shared" ref="F102:O102" si="21">IF($C$6=0,"",F109)</f>
        <v>6269.0104364569424</v>
      </c>
      <c r="G102" s="14">
        <f t="shared" si="21"/>
        <v>6269.0104364569424</v>
      </c>
      <c r="H102" s="14">
        <f t="shared" si="21"/>
        <v>6269.0104364569424</v>
      </c>
      <c r="I102" s="14">
        <f t="shared" si="21"/>
        <v>6269.0104364569424</v>
      </c>
      <c r="J102" s="14">
        <f t="shared" si="21"/>
        <v>6269.0104364569424</v>
      </c>
      <c r="K102" s="14">
        <f t="shared" si="21"/>
        <v>6269.0104364569424</v>
      </c>
      <c r="L102" s="14">
        <f t="shared" si="21"/>
        <v>6269.0104364569424</v>
      </c>
      <c r="M102" s="14">
        <f t="shared" si="21"/>
        <v>6269.0104364569424</v>
      </c>
      <c r="N102" s="14">
        <f t="shared" si="21"/>
        <v>6269.0104364569424</v>
      </c>
      <c r="O102" s="14">
        <f t="shared" si="21"/>
        <v>6269.0104364569424</v>
      </c>
      <c r="P102" s="14"/>
      <c r="Q102" s="14"/>
      <c r="R102" s="14"/>
      <c r="S102" s="14"/>
      <c r="T102" s="14"/>
      <c r="U102" s="14"/>
      <c r="V102" s="14"/>
      <c r="W102" s="14"/>
      <c r="X102" s="14"/>
      <c r="Y102" s="14"/>
      <c r="Z102" s="14"/>
      <c r="AA102" s="14"/>
      <c r="AB102" s="14"/>
      <c r="AC102" s="14"/>
      <c r="AD102" s="14"/>
      <c r="AE102" s="14"/>
      <c r="AF102" s="14"/>
      <c r="AG102" s="14"/>
      <c r="AH102" s="14"/>
      <c r="AI102" s="14"/>
    </row>
    <row r="103" spans="1:35" hidden="1" x14ac:dyDescent="0.35">
      <c r="A103" s="1"/>
      <c r="C103" s="276" t="s">
        <v>30</v>
      </c>
      <c r="D103" s="277"/>
      <c r="E103" s="278"/>
      <c r="F103" s="14">
        <f>IF($C$6=0,"",F105)</f>
        <v>3718.4918722875937</v>
      </c>
      <c r="G103" s="14">
        <f t="shared" ref="G103:AI103" si="22">IF($C$6=0,"",G105)</f>
        <v>3718.4918722875937</v>
      </c>
      <c r="H103" s="14">
        <f t="shared" si="22"/>
        <v>3718.4918722875937</v>
      </c>
      <c r="I103" s="14">
        <f t="shared" si="22"/>
        <v>3718.4918722875937</v>
      </c>
      <c r="J103" s="14">
        <f t="shared" si="22"/>
        <v>3718.4918722875937</v>
      </c>
      <c r="K103" s="14">
        <f t="shared" si="22"/>
        <v>3718.4918722875937</v>
      </c>
      <c r="L103" s="14">
        <f t="shared" si="22"/>
        <v>3718.4918722875937</v>
      </c>
      <c r="M103" s="14">
        <f t="shared" si="22"/>
        <v>3718.4918722875937</v>
      </c>
      <c r="N103" s="14">
        <f t="shared" si="22"/>
        <v>3718.4918722875937</v>
      </c>
      <c r="O103" s="14">
        <f t="shared" si="22"/>
        <v>3718.4918722875937</v>
      </c>
      <c r="P103" s="14">
        <f t="shared" si="22"/>
        <v>3718.4918722875937</v>
      </c>
      <c r="Q103" s="14">
        <f t="shared" si="22"/>
        <v>3718.4918722875937</v>
      </c>
      <c r="R103" s="14">
        <f t="shared" si="22"/>
        <v>3718.4918722875937</v>
      </c>
      <c r="S103" s="14">
        <f t="shared" si="22"/>
        <v>3718.4918722875937</v>
      </c>
      <c r="T103" s="14">
        <f t="shared" si="22"/>
        <v>3718.4918722875937</v>
      </c>
      <c r="U103" s="14">
        <f t="shared" si="22"/>
        <v>3718.4918722875937</v>
      </c>
      <c r="V103" s="14">
        <f t="shared" si="22"/>
        <v>3718.4918722875937</v>
      </c>
      <c r="W103" s="14">
        <f t="shared" si="22"/>
        <v>3718.4918722875937</v>
      </c>
      <c r="X103" s="14">
        <f t="shared" si="22"/>
        <v>3718.4918722875937</v>
      </c>
      <c r="Y103" s="14">
        <f t="shared" si="22"/>
        <v>3718.4918722875937</v>
      </c>
      <c r="Z103" s="14">
        <f t="shared" si="22"/>
        <v>3718.4918722875937</v>
      </c>
      <c r="AA103" s="14">
        <f t="shared" si="22"/>
        <v>3718.4918722875937</v>
      </c>
      <c r="AB103" s="14">
        <f t="shared" si="22"/>
        <v>3718.4918722875937</v>
      </c>
      <c r="AC103" s="14">
        <f t="shared" si="22"/>
        <v>3718.4918722875937</v>
      </c>
      <c r="AD103" s="14">
        <f t="shared" si="22"/>
        <v>3718.4918722875937</v>
      </c>
      <c r="AE103" s="14"/>
      <c r="AF103" s="14"/>
      <c r="AG103" s="14"/>
      <c r="AH103" s="14">
        <f t="shared" si="22"/>
        <v>0</v>
      </c>
      <c r="AI103" s="14">
        <f t="shared" si="22"/>
        <v>0</v>
      </c>
    </row>
    <row r="104" spans="1:35" hidden="1" x14ac:dyDescent="0.35">
      <c r="A104" s="1"/>
      <c r="C104" s="276" t="s">
        <v>31</v>
      </c>
      <c r="D104" s="277"/>
      <c r="E104" s="278"/>
      <c r="F104" s="14">
        <f t="shared" ref="F104:AI104" si="23">IF($C$6=0,"",F115)</f>
        <v>3272.2728476130824</v>
      </c>
      <c r="G104" s="14">
        <f t="shared" si="23"/>
        <v>3272.2728476130824</v>
      </c>
      <c r="H104" s="14">
        <f t="shared" si="23"/>
        <v>3383.1099803084348</v>
      </c>
      <c r="I104" s="14">
        <f t="shared" si="23"/>
        <v>3383.1099803084348</v>
      </c>
      <c r="J104" s="14">
        <f t="shared" si="23"/>
        <v>3454.2750150167931</v>
      </c>
      <c r="K104" s="14">
        <f t="shared" si="23"/>
        <v>3454.2750150167931</v>
      </c>
      <c r="L104" s="14">
        <f t="shared" si="23"/>
        <v>3569.0354561763406</v>
      </c>
      <c r="M104" s="14">
        <f t="shared" si="23"/>
        <v>3569.0354561763406</v>
      </c>
      <c r="N104" s="14">
        <f t="shared" si="23"/>
        <v>3683.267128824903</v>
      </c>
      <c r="O104" s="14">
        <f t="shared" si="23"/>
        <v>3683.267128824903</v>
      </c>
      <c r="P104" s="14">
        <f t="shared" si="23"/>
        <v>3776.2892330978311</v>
      </c>
      <c r="Q104" s="14">
        <f t="shared" si="23"/>
        <v>3776.2892330978311</v>
      </c>
      <c r="R104" s="14">
        <f t="shared" si="23"/>
        <v>3893.069486410755</v>
      </c>
      <c r="S104" s="14">
        <f t="shared" si="23"/>
        <v>3893.069486410755</v>
      </c>
      <c r="T104" s="14">
        <f t="shared" si="23"/>
        <v>4009.9354659889441</v>
      </c>
      <c r="U104" s="14">
        <f t="shared" si="23"/>
        <v>4009.9354659889441</v>
      </c>
      <c r="V104" s="14">
        <f t="shared" si="23"/>
        <v>4127.2758815215693</v>
      </c>
      <c r="W104" s="14">
        <f t="shared" si="23"/>
        <v>4127.2758815215693</v>
      </c>
      <c r="X104" s="14">
        <f t="shared" si="23"/>
        <v>4245.7788283778345</v>
      </c>
      <c r="Y104" s="14">
        <f t="shared" si="23"/>
        <v>4245.7788283778345</v>
      </c>
      <c r="Z104" s="14">
        <f t="shared" si="23"/>
        <v>4366.6565617678034</v>
      </c>
      <c r="AA104" s="14">
        <f t="shared" si="23"/>
        <v>4366.6565617678034</v>
      </c>
      <c r="AB104" s="14">
        <f t="shared" si="23"/>
        <v>4492.1496217477425</v>
      </c>
      <c r="AC104" s="14">
        <f t="shared" si="23"/>
        <v>4492.1496217477425</v>
      </c>
      <c r="AD104" s="14">
        <f t="shared" si="23"/>
        <v>4626.8697235866421</v>
      </c>
      <c r="AE104" s="14"/>
      <c r="AF104" s="14"/>
      <c r="AG104" s="14"/>
      <c r="AH104" s="14">
        <f t="shared" si="23"/>
        <v>0</v>
      </c>
      <c r="AI104" s="14">
        <f t="shared" si="23"/>
        <v>0</v>
      </c>
    </row>
    <row r="105" spans="1:35" hidden="1" x14ac:dyDescent="0.35">
      <c r="A105" s="1"/>
      <c r="C105" s="91"/>
      <c r="D105" s="8"/>
      <c r="E105" s="107" t="s">
        <v>30</v>
      </c>
      <c r="F105" s="14">
        <f>IF($C6&lt;10000,PMT($C$7/$C$8,12*$C$8,-$C$6),IF($C6&lt;20000,PMT($C$7/$C$8,15*$C$8,-$C$6),IF($C6&lt;40000,PMT($C$7/$C$8,20*$C$8,-$C$6),IF($C6&lt;60000,PMT($C$7/$C$8,25*$C$8,-$C$6),PMT($C$7/$C$8,30*$C$8,-$C$6)))))</f>
        <v>3718.4918722875937</v>
      </c>
      <c r="G105" s="14">
        <f t="shared" ref="G105:Q107" si="24">F105</f>
        <v>3718.4918722875937</v>
      </c>
      <c r="H105" s="14">
        <f t="shared" si="24"/>
        <v>3718.4918722875937</v>
      </c>
      <c r="I105" s="14">
        <f t="shared" si="24"/>
        <v>3718.4918722875937</v>
      </c>
      <c r="J105" s="14">
        <f t="shared" si="24"/>
        <v>3718.4918722875937</v>
      </c>
      <c r="K105" s="14">
        <f t="shared" si="24"/>
        <v>3718.4918722875937</v>
      </c>
      <c r="L105" s="14">
        <f t="shared" si="24"/>
        <v>3718.4918722875937</v>
      </c>
      <c r="M105" s="14">
        <f t="shared" si="24"/>
        <v>3718.4918722875937</v>
      </c>
      <c r="N105" s="14">
        <f t="shared" si="24"/>
        <v>3718.4918722875937</v>
      </c>
      <c r="O105" s="14">
        <f t="shared" si="24"/>
        <v>3718.4918722875937</v>
      </c>
      <c r="P105" s="14">
        <f t="shared" si="24"/>
        <v>3718.4918722875937</v>
      </c>
      <c r="Q105" s="14">
        <f t="shared" si="24"/>
        <v>3718.4918722875937</v>
      </c>
      <c r="R105" s="14">
        <f>IF(C6&lt;10000,0,Q105)</f>
        <v>3718.4918722875937</v>
      </c>
      <c r="S105" s="14">
        <f>R105</f>
        <v>3718.4918722875937</v>
      </c>
      <c r="T105" s="14">
        <f>S105</f>
        <v>3718.4918722875937</v>
      </c>
      <c r="U105" s="14">
        <f>IF(C6&lt;20000,0,T105)</f>
        <v>3718.4918722875937</v>
      </c>
      <c r="V105" s="14">
        <f t="shared" ref="V105:Y107" si="25">U105</f>
        <v>3718.4918722875937</v>
      </c>
      <c r="W105" s="14">
        <f t="shared" si="25"/>
        <v>3718.4918722875937</v>
      </c>
      <c r="X105" s="14">
        <f t="shared" si="25"/>
        <v>3718.4918722875937</v>
      </c>
      <c r="Y105" s="14">
        <f t="shared" si="25"/>
        <v>3718.4918722875937</v>
      </c>
      <c r="Z105" s="14">
        <f>IF(C6&lt;40000,0,Y105)</f>
        <v>3718.4918722875937</v>
      </c>
      <c r="AA105" s="14">
        <f t="shared" ref="AA105:AD107" si="26">Z105</f>
        <v>3718.4918722875937</v>
      </c>
      <c r="AB105" s="14">
        <f t="shared" si="26"/>
        <v>3718.4918722875937</v>
      </c>
      <c r="AC105" s="14">
        <f t="shared" si="26"/>
        <v>3718.4918722875937</v>
      </c>
      <c r="AD105" s="14">
        <f t="shared" si="26"/>
        <v>3718.4918722875937</v>
      </c>
      <c r="AE105" s="14"/>
      <c r="AF105" s="14"/>
      <c r="AG105" s="14"/>
      <c r="AH105" s="14">
        <f>AG105</f>
        <v>0</v>
      </c>
      <c r="AI105" s="14">
        <f>AH105</f>
        <v>0</v>
      </c>
    </row>
    <row r="106" spans="1:35" hidden="1" x14ac:dyDescent="0.35">
      <c r="A106" s="1"/>
      <c r="C106" s="91"/>
      <c r="D106" s="8"/>
      <c r="E106" s="107" t="s">
        <v>49</v>
      </c>
      <c r="F106" s="8">
        <f>F105*12</f>
        <v>44621.902467451124</v>
      </c>
      <c r="G106" s="8">
        <f t="shared" ref="G106:AI106" si="27">G105*12</f>
        <v>44621.902467451124</v>
      </c>
      <c r="H106" s="8">
        <f t="shared" si="27"/>
        <v>44621.902467451124</v>
      </c>
      <c r="I106" s="8">
        <f t="shared" si="27"/>
        <v>44621.902467451124</v>
      </c>
      <c r="J106" s="8">
        <f t="shared" si="27"/>
        <v>44621.902467451124</v>
      </c>
      <c r="K106" s="8">
        <f t="shared" si="27"/>
        <v>44621.902467451124</v>
      </c>
      <c r="L106" s="8">
        <f t="shared" si="27"/>
        <v>44621.902467451124</v>
      </c>
      <c r="M106" s="8">
        <f t="shared" si="27"/>
        <v>44621.902467451124</v>
      </c>
      <c r="N106" s="8">
        <f t="shared" si="27"/>
        <v>44621.902467451124</v>
      </c>
      <c r="O106" s="8">
        <f>O105*12</f>
        <v>44621.902467451124</v>
      </c>
      <c r="P106" s="8">
        <f t="shared" si="27"/>
        <v>44621.902467451124</v>
      </c>
      <c r="Q106" s="8">
        <f t="shared" si="27"/>
        <v>44621.902467451124</v>
      </c>
      <c r="R106" s="26">
        <f t="shared" si="27"/>
        <v>44621.902467451124</v>
      </c>
      <c r="S106" s="26">
        <f t="shared" si="27"/>
        <v>44621.902467451124</v>
      </c>
      <c r="T106" s="26">
        <f t="shared" si="27"/>
        <v>44621.902467451124</v>
      </c>
      <c r="U106" s="26">
        <f t="shared" si="27"/>
        <v>44621.902467451124</v>
      </c>
      <c r="V106" s="26">
        <f t="shared" si="27"/>
        <v>44621.902467451124</v>
      </c>
      <c r="W106" s="26">
        <f t="shared" si="27"/>
        <v>44621.902467451124</v>
      </c>
      <c r="X106" s="26">
        <f t="shared" si="27"/>
        <v>44621.902467451124</v>
      </c>
      <c r="Y106" s="26">
        <f t="shared" si="27"/>
        <v>44621.902467451124</v>
      </c>
      <c r="Z106" s="26">
        <f t="shared" si="27"/>
        <v>44621.902467451124</v>
      </c>
      <c r="AA106" s="26">
        <f t="shared" si="27"/>
        <v>44621.902467451124</v>
      </c>
      <c r="AB106" s="26">
        <f t="shared" si="27"/>
        <v>44621.902467451124</v>
      </c>
      <c r="AC106" s="23">
        <f t="shared" si="27"/>
        <v>44621.902467451124</v>
      </c>
      <c r="AD106" s="23">
        <f t="shared" si="27"/>
        <v>44621.902467451124</v>
      </c>
      <c r="AE106" s="23">
        <f t="shared" si="27"/>
        <v>0</v>
      </c>
      <c r="AF106" s="23"/>
      <c r="AG106" s="23"/>
      <c r="AH106" s="23">
        <f t="shared" si="27"/>
        <v>0</v>
      </c>
      <c r="AI106" s="23">
        <f t="shared" si="27"/>
        <v>0</v>
      </c>
    </row>
    <row r="107" spans="1:35" hidden="1" x14ac:dyDescent="0.35">
      <c r="A107" s="1"/>
      <c r="B107" s="1" t="s">
        <v>10</v>
      </c>
      <c r="C107" s="91"/>
      <c r="D107" s="8">
        <f>IF(K107="N/A","N/A",SUM(F107:AI107)*12)</f>
        <v>1183314.1771822104</v>
      </c>
      <c r="E107" s="260"/>
      <c r="F107" s="14">
        <f>($C$6*$C$7)/12</f>
        <v>3338.7499499999999</v>
      </c>
      <c r="G107" s="14">
        <f>($C$6*$C$7)/12</f>
        <v>3338.7499499999999</v>
      </c>
      <c r="H107" s="14">
        <f>($C$6*$C$7)/12</f>
        <v>3338.7499499999999</v>
      </c>
      <c r="I107" s="14">
        <f>($C$6*$C$7)/12</f>
        <v>3338.7499499999999</v>
      </c>
      <c r="J107" s="14">
        <f>IF($C$6&lt;10000,PMT($C$7/$C$8,8*$C$8,-$C$6),IF($C$6&lt;20000,PMT($C$7/$C$8,11*$C$8,-$C$6),IF($C$6&lt;40000,PMT($C$7/$C$8,16*$C$8,-$C$6),IF($C$6&lt;60000,PMT($C$7/$C$8,21*$C$8,-$C$6),PMT($C$7/$C$8,26*$C$8,-$C$6)))))</f>
        <v>3875.2052256901884</v>
      </c>
      <c r="K107" s="14">
        <f>IF(J107&gt;($F$107*3),"N/A",J107)</f>
        <v>3875.2052256901884</v>
      </c>
      <c r="L107" s="14">
        <f t="shared" si="24"/>
        <v>3875.2052256901884</v>
      </c>
      <c r="M107" s="14">
        <f t="shared" si="24"/>
        <v>3875.2052256901884</v>
      </c>
      <c r="N107" s="14">
        <f t="shared" si="24"/>
        <v>3875.2052256901884</v>
      </c>
      <c r="O107" s="14">
        <f t="shared" si="24"/>
        <v>3875.2052256901884</v>
      </c>
      <c r="P107" s="14">
        <f t="shared" si="24"/>
        <v>3875.2052256901884</v>
      </c>
      <c r="Q107" s="14">
        <f t="shared" si="24"/>
        <v>3875.2052256901884</v>
      </c>
      <c r="R107" s="14">
        <f>IF($C$6&lt;10000,0,Q107)</f>
        <v>3875.2052256901884</v>
      </c>
      <c r="S107" s="14">
        <f>R107</f>
        <v>3875.2052256901884</v>
      </c>
      <c r="T107" s="14">
        <f>S107</f>
        <v>3875.2052256901884</v>
      </c>
      <c r="U107" s="14">
        <f>IF($C$6&lt;20000,0,T107)</f>
        <v>3875.2052256901884</v>
      </c>
      <c r="V107" s="14">
        <f t="shared" si="25"/>
        <v>3875.2052256901884</v>
      </c>
      <c r="W107" s="14">
        <f t="shared" si="25"/>
        <v>3875.2052256901884</v>
      </c>
      <c r="X107" s="14">
        <f t="shared" si="25"/>
        <v>3875.2052256901884</v>
      </c>
      <c r="Y107" s="14">
        <f t="shared" si="25"/>
        <v>3875.2052256901884</v>
      </c>
      <c r="Z107" s="14">
        <f>IF($C$6&lt;40000,0,Y107)</f>
        <v>3875.2052256901884</v>
      </c>
      <c r="AA107" s="14">
        <f t="shared" si="26"/>
        <v>3875.2052256901884</v>
      </c>
      <c r="AB107" s="14">
        <f t="shared" si="26"/>
        <v>3875.2052256901884</v>
      </c>
      <c r="AC107" s="14">
        <f t="shared" si="26"/>
        <v>3875.2052256901884</v>
      </c>
      <c r="AD107" s="14">
        <f t="shared" si="26"/>
        <v>3875.2052256901884</v>
      </c>
      <c r="AE107" s="14">
        <f>IF($C$6&lt;60000,0,AD107)</f>
        <v>3875.2052256901884</v>
      </c>
      <c r="AF107" s="14"/>
      <c r="AG107" s="14"/>
      <c r="AH107" s="14">
        <f>AG107</f>
        <v>0</v>
      </c>
      <c r="AI107" s="14">
        <f>AH107</f>
        <v>0</v>
      </c>
    </row>
    <row r="108" spans="1:35" s="8" customFormat="1" hidden="1" x14ac:dyDescent="0.35">
      <c r="C108" s="126"/>
      <c r="E108" s="260" t="s">
        <v>43</v>
      </c>
      <c r="F108" s="8">
        <f>F109*12</f>
        <v>75228.125237483313</v>
      </c>
      <c r="G108" s="8">
        <f t="shared" ref="G108:O108" si="28">G109*12</f>
        <v>75228.125237483313</v>
      </c>
      <c r="H108" s="8">
        <f t="shared" si="28"/>
        <v>75228.125237483313</v>
      </c>
      <c r="I108" s="8">
        <f t="shared" si="28"/>
        <v>75228.125237483313</v>
      </c>
      <c r="J108" s="8">
        <f t="shared" si="28"/>
        <v>75228.125237483313</v>
      </c>
      <c r="K108" s="8">
        <f t="shared" si="28"/>
        <v>75228.125237483313</v>
      </c>
      <c r="L108" s="8">
        <f t="shared" si="28"/>
        <v>75228.125237483313</v>
      </c>
      <c r="M108" s="8">
        <f t="shared" si="28"/>
        <v>75228.125237483313</v>
      </c>
      <c r="N108" s="8">
        <f t="shared" si="28"/>
        <v>75228.125237483313</v>
      </c>
      <c r="O108" s="8">
        <f t="shared" si="28"/>
        <v>75228.125237483313</v>
      </c>
    </row>
    <row r="109" spans="1:35" hidden="1" x14ac:dyDescent="0.35">
      <c r="A109" s="1"/>
      <c r="B109" s="1" t="s">
        <v>132</v>
      </c>
      <c r="C109" s="261">
        <f>PMT(C$7/12,10*12,-C$6)</f>
        <v>6269.0104364569424</v>
      </c>
      <c r="E109" s="262" t="s">
        <v>11</v>
      </c>
      <c r="F109" s="14">
        <f>PMT(C$7/12,10*12,-C$6)</f>
        <v>6269.0104364569424</v>
      </c>
      <c r="G109" s="14">
        <f t="shared" ref="G109:O109" si="29">$F$109</f>
        <v>6269.0104364569424</v>
      </c>
      <c r="H109" s="14">
        <f t="shared" si="29"/>
        <v>6269.0104364569424</v>
      </c>
      <c r="I109" s="14">
        <f t="shared" si="29"/>
        <v>6269.0104364569424</v>
      </c>
      <c r="J109" s="14">
        <f t="shared" si="29"/>
        <v>6269.0104364569424</v>
      </c>
      <c r="K109" s="14">
        <f t="shared" si="29"/>
        <v>6269.0104364569424</v>
      </c>
      <c r="L109" s="14">
        <f t="shared" si="29"/>
        <v>6269.0104364569424</v>
      </c>
      <c r="M109" s="14">
        <f t="shared" si="29"/>
        <v>6269.0104364569424</v>
      </c>
      <c r="N109" s="14">
        <f t="shared" si="29"/>
        <v>6269.0104364569424</v>
      </c>
      <c r="O109" s="14">
        <f t="shared" si="29"/>
        <v>6269.0104364569424</v>
      </c>
      <c r="P109" s="14">
        <v>0</v>
      </c>
      <c r="Q109" s="14">
        <v>0</v>
      </c>
      <c r="R109" s="14">
        <v>0</v>
      </c>
      <c r="S109" s="14">
        <v>0</v>
      </c>
      <c r="T109" s="14">
        <v>0</v>
      </c>
      <c r="U109" s="14">
        <v>0</v>
      </c>
      <c r="V109" s="14">
        <v>0</v>
      </c>
      <c r="W109" s="14">
        <v>0</v>
      </c>
      <c r="X109" s="14">
        <v>0</v>
      </c>
      <c r="Y109" s="14">
        <v>0</v>
      </c>
      <c r="Z109" s="14">
        <v>0</v>
      </c>
      <c r="AA109" s="14">
        <v>0</v>
      </c>
      <c r="AB109" s="14">
        <v>0</v>
      </c>
      <c r="AC109" s="14">
        <v>0</v>
      </c>
      <c r="AD109" s="14">
        <v>0</v>
      </c>
      <c r="AE109" s="14"/>
      <c r="AF109" s="14"/>
      <c r="AG109" s="14"/>
      <c r="AH109" s="14"/>
      <c r="AI109" s="14"/>
    </row>
    <row r="110" spans="1:35" hidden="1" x14ac:dyDescent="0.35">
      <c r="A110" s="1"/>
      <c r="B110" s="1" t="s">
        <v>12</v>
      </c>
      <c r="C110" s="91"/>
      <c r="D110" s="47">
        <f>IF(J110="N/A","N/A",SUM(F110:O110)*12)</f>
        <v>818654.05599707051</v>
      </c>
      <c r="E110" s="263"/>
      <c r="F110" s="25">
        <f>PMT($C$7/12,10*12,(0.69)*-($C$6))</f>
        <v>4325.617201155289</v>
      </c>
      <c r="G110" s="25">
        <f>PMT($C$7/12,10*12,(0.69)*-($C$6))</f>
        <v>4325.617201155289</v>
      </c>
      <c r="H110" s="25">
        <f>PMT($C$7/12,8*12,(0.76)*-($G$114))</f>
        <v>5306.4681867792406</v>
      </c>
      <c r="I110" s="25">
        <f>PMT($C$7/12,8*12,(0.76)*-($G$114))</f>
        <v>5306.4681867792406</v>
      </c>
      <c r="J110" s="25">
        <f>PMT($C$7/12,6*12,(0.84)*-($I$114))</f>
        <v>6524.8013844541429</v>
      </c>
      <c r="K110" s="25">
        <f>PMT($C$7/12,6*12,(0.84)*-($I$114))</f>
        <v>6524.8013844541429</v>
      </c>
      <c r="L110" s="25">
        <f>PMT($C$7/12,4*12,(0.9)*-($K$114))</f>
        <v>7765.5762775106523</v>
      </c>
      <c r="M110" s="25">
        <f>PMT($C$7/12,4*12,(0.9)*-($K$114))</f>
        <v>7765.5762775106523</v>
      </c>
      <c r="N110" s="25">
        <f>PMT($C$7/12,2*12,-($M$114))</f>
        <v>9862.0602159492046</v>
      </c>
      <c r="O110" s="25">
        <f>(PMT($C$7/12,2*12,-($M$114)))+((N114-(N111-(N114*$C7)))/12)</f>
        <v>10514.185017341346</v>
      </c>
      <c r="P110" s="14"/>
      <c r="Q110" s="14"/>
      <c r="R110" s="14"/>
      <c r="S110" s="14"/>
      <c r="T110" s="14"/>
      <c r="U110" s="14"/>
      <c r="V110" s="14"/>
      <c r="W110" s="14"/>
      <c r="X110" s="14"/>
      <c r="Y110" s="14"/>
      <c r="Z110" s="14"/>
      <c r="AA110" s="14"/>
      <c r="AB110" s="14"/>
      <c r="AC110" s="14"/>
      <c r="AD110" s="14"/>
    </row>
    <row r="111" spans="1:35" hidden="1" x14ac:dyDescent="0.35">
      <c r="A111" s="1"/>
      <c r="B111" s="1" t="s">
        <v>13</v>
      </c>
      <c r="C111" s="91"/>
      <c r="E111" s="262"/>
      <c r="F111" s="19">
        <f>F110*12</f>
        <v>51907.406413863471</v>
      </c>
      <c r="G111" s="19">
        <f>G110*12</f>
        <v>51907.406413863471</v>
      </c>
      <c r="H111" s="19">
        <f t="shared" ref="H111:AD111" si="30">H110*12</f>
        <v>63677.618241350887</v>
      </c>
      <c r="I111" s="19">
        <f t="shared" si="30"/>
        <v>63677.618241350887</v>
      </c>
      <c r="J111" s="19">
        <f t="shared" si="30"/>
        <v>78297.616613449718</v>
      </c>
      <c r="K111" s="19">
        <f t="shared" si="30"/>
        <v>78297.616613449718</v>
      </c>
      <c r="L111" s="19">
        <f t="shared" si="30"/>
        <v>93186.915330127827</v>
      </c>
      <c r="M111" s="19">
        <f t="shared" si="30"/>
        <v>93186.915330127827</v>
      </c>
      <c r="N111" s="19">
        <f t="shared" si="30"/>
        <v>118344.72259139045</v>
      </c>
      <c r="O111" s="19">
        <f>O110*12</f>
        <v>126170.22020809614</v>
      </c>
      <c r="P111" s="19">
        <f t="shared" si="30"/>
        <v>0</v>
      </c>
      <c r="Q111" s="19">
        <f t="shared" si="30"/>
        <v>0</v>
      </c>
      <c r="R111" s="19">
        <f t="shared" si="30"/>
        <v>0</v>
      </c>
      <c r="S111" s="19">
        <f t="shared" si="30"/>
        <v>0</v>
      </c>
      <c r="T111" s="19">
        <f t="shared" si="30"/>
        <v>0</v>
      </c>
      <c r="U111" s="19">
        <f t="shared" si="30"/>
        <v>0</v>
      </c>
      <c r="V111" s="19">
        <f t="shared" si="30"/>
        <v>0</v>
      </c>
      <c r="W111" s="19">
        <f t="shared" si="30"/>
        <v>0</v>
      </c>
      <c r="X111" s="19">
        <f t="shared" si="30"/>
        <v>0</v>
      </c>
      <c r="Y111" s="19">
        <f t="shared" si="30"/>
        <v>0</v>
      </c>
      <c r="Z111" s="19">
        <f t="shared" si="30"/>
        <v>0</v>
      </c>
      <c r="AA111" s="19">
        <f t="shared" si="30"/>
        <v>0</v>
      </c>
      <c r="AB111" s="19">
        <f t="shared" si="30"/>
        <v>0</v>
      </c>
      <c r="AC111" s="19">
        <f t="shared" si="30"/>
        <v>0</v>
      </c>
      <c r="AD111" s="19">
        <f t="shared" si="30"/>
        <v>0</v>
      </c>
    </row>
    <row r="112" spans="1:35" hidden="1" x14ac:dyDescent="0.35">
      <c r="A112" s="1"/>
      <c r="B112" s="1" t="s">
        <v>6</v>
      </c>
      <c r="C112" s="91"/>
      <c r="E112" s="262"/>
      <c r="F112" s="19">
        <f>$C$6*$C$7</f>
        <v>40064.999400000001</v>
      </c>
      <c r="G112" s="19">
        <f>F114*$C$7</f>
        <v>39161.492074487483</v>
      </c>
      <c r="H112" s="19">
        <f t="shared" ref="H112:AI112" si="31">G114*$C$7</f>
        <v>38189.052353196028</v>
      </c>
      <c r="I112" s="19">
        <f t="shared" si="31"/>
        <v>36244.421842709671</v>
      </c>
      <c r="J112" s="19">
        <f t="shared" si="31"/>
        <v>34151.427244619947</v>
      </c>
      <c r="K112" s="19">
        <f t="shared" si="31"/>
        <v>30783.327715402007</v>
      </c>
      <c r="L112" s="19">
        <f t="shared" si="31"/>
        <v>27158.261625742321</v>
      </c>
      <c r="M112" s="19">
        <f t="shared" si="31"/>
        <v>22120.656327613044</v>
      </c>
      <c r="N112" s="19">
        <f t="shared" si="31"/>
        <v>16698.710811775301</v>
      </c>
      <c r="O112" s="19">
        <f t="shared" si="31"/>
        <v>8943.7066015245218</v>
      </c>
      <c r="P112" s="19">
        <f t="shared" si="31"/>
        <v>0</v>
      </c>
      <c r="Q112" s="19">
        <f t="shared" si="31"/>
        <v>0</v>
      </c>
      <c r="R112" s="19">
        <f t="shared" si="31"/>
        <v>0</v>
      </c>
      <c r="S112" s="19">
        <f t="shared" si="31"/>
        <v>0</v>
      </c>
      <c r="T112" s="19">
        <f t="shared" si="31"/>
        <v>0</v>
      </c>
      <c r="U112" s="19">
        <f t="shared" si="31"/>
        <v>0</v>
      </c>
      <c r="V112" s="19">
        <f t="shared" si="31"/>
        <v>0</v>
      </c>
      <c r="W112" s="19">
        <f t="shared" si="31"/>
        <v>0</v>
      </c>
      <c r="X112" s="19">
        <f t="shared" si="31"/>
        <v>0</v>
      </c>
      <c r="Y112" s="19">
        <f t="shared" si="31"/>
        <v>0</v>
      </c>
      <c r="Z112" s="19">
        <f t="shared" si="31"/>
        <v>0</v>
      </c>
      <c r="AA112" s="19">
        <f t="shared" si="31"/>
        <v>0</v>
      </c>
      <c r="AB112" s="19">
        <f t="shared" si="31"/>
        <v>0</v>
      </c>
      <c r="AC112" s="19">
        <f t="shared" si="31"/>
        <v>0</v>
      </c>
      <c r="AD112" s="19">
        <f>AC114*$C$7</f>
        <v>0</v>
      </c>
      <c r="AE112" s="19">
        <f t="shared" si="31"/>
        <v>0</v>
      </c>
      <c r="AF112" s="19"/>
      <c r="AG112" s="19"/>
      <c r="AH112" s="19">
        <f t="shared" si="31"/>
        <v>0</v>
      </c>
      <c r="AI112" s="19">
        <f t="shared" si="31"/>
        <v>0</v>
      </c>
    </row>
    <row r="113" spans="1:35" hidden="1" x14ac:dyDescent="0.35">
      <c r="A113" s="1"/>
      <c r="B113" s="1" t="s">
        <v>14</v>
      </c>
      <c r="C113" s="91"/>
      <c r="E113" s="262"/>
      <c r="F113" s="19">
        <f>F111-F112</f>
        <v>11842.407013863471</v>
      </c>
      <c r="G113" s="19">
        <f>G111-G112</f>
        <v>12745.914339375988</v>
      </c>
      <c r="H113" s="19">
        <f t="shared" ref="H113:N113" si="32">H111-H112</f>
        <v>25488.565888154859</v>
      </c>
      <c r="I113" s="19">
        <f t="shared" si="32"/>
        <v>27433.196398641216</v>
      </c>
      <c r="J113" s="19">
        <f t="shared" si="32"/>
        <v>44146.189368829771</v>
      </c>
      <c r="K113" s="19">
        <f t="shared" si="32"/>
        <v>47514.288898047715</v>
      </c>
      <c r="L113" s="19">
        <f t="shared" si="32"/>
        <v>66028.653704385506</v>
      </c>
      <c r="M113" s="19">
        <f t="shared" si="32"/>
        <v>71066.25900251478</v>
      </c>
      <c r="N113" s="19">
        <f t="shared" si="32"/>
        <v>101646.01177961516</v>
      </c>
      <c r="O113" s="19">
        <f>O111-O112</f>
        <v>117226.51360657162</v>
      </c>
      <c r="P113" s="19"/>
      <c r="Q113" s="19"/>
      <c r="R113" s="19"/>
      <c r="S113" s="19"/>
      <c r="T113" s="19"/>
      <c r="U113" s="19"/>
      <c r="V113" s="19"/>
      <c r="W113" s="19"/>
      <c r="X113" s="19"/>
      <c r="Y113" s="19"/>
    </row>
    <row r="114" spans="1:35" hidden="1" x14ac:dyDescent="0.35">
      <c r="A114" s="1"/>
      <c r="B114" s="1" t="s">
        <v>8</v>
      </c>
      <c r="C114" s="91"/>
      <c r="E114" s="262"/>
      <c r="F114" s="19">
        <f>$C$6-F113</f>
        <v>513295.59298613656</v>
      </c>
      <c r="G114" s="19">
        <f>F114-G113</f>
        <v>500549.67864676059</v>
      </c>
      <c r="H114" s="19">
        <f t="shared" ref="H114:O114" si="33">G114-H113</f>
        <v>475061.11275860574</v>
      </c>
      <c r="I114" s="19">
        <f t="shared" si="33"/>
        <v>447627.91635996453</v>
      </c>
      <c r="J114" s="19">
        <f t="shared" si="33"/>
        <v>403481.72699113475</v>
      </c>
      <c r="K114" s="19">
        <f t="shared" si="33"/>
        <v>355967.43809308705</v>
      </c>
      <c r="L114" s="19">
        <f t="shared" si="33"/>
        <v>289938.78438870155</v>
      </c>
      <c r="M114" s="19">
        <f t="shared" si="33"/>
        <v>218872.52538618678</v>
      </c>
      <c r="N114" s="19">
        <f t="shared" si="33"/>
        <v>117226.51360657162</v>
      </c>
      <c r="O114" s="19">
        <f t="shared" si="33"/>
        <v>0</v>
      </c>
      <c r="P114" s="19"/>
      <c r="Q114" s="19"/>
      <c r="R114" s="19"/>
      <c r="S114" s="19"/>
      <c r="T114" s="19"/>
      <c r="U114" s="19"/>
      <c r="V114" s="19"/>
      <c r="W114" s="19"/>
      <c r="X114" s="19"/>
      <c r="Y114" s="19"/>
    </row>
    <row r="115" spans="1:35" hidden="1" x14ac:dyDescent="0.35">
      <c r="A115" s="1"/>
      <c r="C115" s="91"/>
      <c r="D115" s="8"/>
      <c r="E115" s="107" t="s">
        <v>31</v>
      </c>
      <c r="F115" s="14">
        <f>IF($C$6&lt;10000,PMT($C$7/12,12*12,(0.7)*-($C$6)),IF($C$6&lt;20000,PMT($C$7/12,15*12,(0.69)*-($C$6)),IF($C$6&lt;40000,PMT($C$7/12,20*12,(0.75)*-($C$6)),IF($C$6&lt;60000,PMT($C$7/12,25*12,(0.83)*-($C$6)),PMT($C$7/12,30*12,(0.88)*-($C$6))))))</f>
        <v>3272.2728476130824</v>
      </c>
      <c r="G115" s="14">
        <f>IF($C$6&lt;10000,PMT($C$7/12,12*12,(0.7)*-($C$6)),IF($C$6&lt;20000,PMT($C$7/12,15*12,(0.69)*-($C$6)),IF($C$6&lt;40000,PMT($C$7/12,20*12,(0.75)*-($C$6)),IF($C$6&lt;60000,PMT($C$7/12,25*12,(0.83)*-($C$6)),PMT($C$7/12,30*12,(0.88)*-($C$6))))))</f>
        <v>3272.2728476130824</v>
      </c>
      <c r="H115" s="14">
        <f>IF($C$6&lt;10000,PMT($C$7/12,10*12,(0.75)*-($G$119)),IF($C$6&lt;20000,PMT($C$7/12,13*12,(0.72)*-($G$119)),IF($C$6&lt;40000,PMT($C$7/12,(20-$G$73)*12,(0.78)*-($G$119)),IF($C$6&lt;60000,PMT($C$7/12,(25-$G$73)*12,(0.84)*-($G$119)),PMT($C$7/12,(30-2)*12,(0.89)*-($G$119))))))</f>
        <v>3383.1099803084348</v>
      </c>
      <c r="I115" s="14">
        <f>IF($C$6&lt;10000,PMT($C$7/12,10*12,(0.75)*-($G$119)),IF($C$6&lt;20000,PMT($C$7/12,13*12,(0.72)*-($G$119)),IF($C$6&lt;40000,PMT($C$7/12,(20-$G$73)*12,(0.78)*-($G$119)),IF($C$6&lt;60000,PMT($C$7/12,(25-$G$73)*12,(0.84)*-($G$119)),PMT($C$7/12,(30-2)*12,(0.89)*-($G$119))))))</f>
        <v>3383.1099803084348</v>
      </c>
      <c r="J115" s="14">
        <f>IF($C$6&lt;10000,PMT($C$7/12,8*12,(0.81)*-($I$119)),IF($C$6&lt;20000,PMT($C$7/12,11*12,(0.76)*-($I$119)),IF($C$6&lt;40000,PMT($C$7/12,(20-$I73)*12,(0.8)*-($I$119)),IF($C$6&lt;60000,PMT($C$7/12,(25-$I$73)*12,(0.85)*-($I$119)),PMT($C$7/12,(30-4)*12,(0.89)*-($I$119))))))</f>
        <v>3454.2750150167931</v>
      </c>
      <c r="K115" s="14">
        <f>IF($C$6&lt;10000,PMT($C$7/12,8*12,(0.81)*-($I$119)),IF($C$6&lt;20000,PMT($C$7/12,11*12,(0.76)*-($I$119)),IF($C$6&lt;40000,PMT($C$7/12,(20-$I73)*12,(0.8)*-($I$119)),IF($C$6&lt;60000,PMT($C$7/12,(25-$I$73)*12,(0.85)*-($I$119)),PMT($C$7/12,(30-4)*12,(0.89)*-($I$119))))))</f>
        <v>3454.2750150167931</v>
      </c>
      <c r="L115" s="14">
        <f>IF($C$6&lt;10000,PMT($C$7/12,6*12,(0.87)*-($K$119)),IF($C$6&lt;20000,PMT($C$7/12,9*12,(0.81)*-($K$119)),IF($C$6&lt;40000,PMT($C$7/12,(20-$K$73)*12,(0.82)*-($K$119)),IF($C$6&lt;60000,PMT($C$7/12,(25-$K$73)*12,(0.87)*-($K$119)),PMT($C$7/12,(30-6)*12,(0.9)*-($K$119))))))</f>
        <v>3569.0354561763406</v>
      </c>
      <c r="M115" s="14">
        <f>IF($C$6&lt;10000,PMT($C$7/12,6*12,(0.87)*-($K$119)),IF($C$6&lt;20000,PMT($C$7/12,9*12,(0.81)*-($K$119)),IF($C$6&lt;40000,PMT($C$7/12,(20-$K$73)*12,(0.82)*-($K$119)),IF($C$6&lt;60000,PMT($C$7/12,(25-$K$73)*12,(0.87)*-($K$119)),PMT($C$7/12,(30-6)*12,(0.9)*-($K$119))))))</f>
        <v>3569.0354561763406</v>
      </c>
      <c r="N115" s="14">
        <f>IF($C$6&lt;10000,PMT($C$7/12,4*12,0.93*-($M$119)),IF($C$6&lt;20000,PMT($C$7/12,7*12,(0.85)*-($M$119)),IF($C$6&lt;40000,PMT($C$7/12,(20-$M$73)*12,(0.85)*-($M$119)),IF($C$6&lt;60000,PMT($C$7/12,(25-$M$73)*12,(0.88)*-($M$119)),PMT($C$7/12,(30-8)*12,(0.91)*-($M$119))))))</f>
        <v>3683.267128824903</v>
      </c>
      <c r="O115" s="14">
        <f>IF($C$6&lt;10000,PMT($C$7/12,4*12,0.93*-($M$119)),IF($C$6&lt;20000,PMT($C$7/12,7*12,(0.85)*-($M$119)),IF($C$6&lt;40000,PMT($C$7/12,(20-$M$73)*12,(0.85)*-($M$119)),IF($C$6&lt;60000,PMT($C$7/12,(25-$M$73)*12,(0.88)*-($M$119)),PMT($C$7/12,(30-8)*12,(0.91)*-($M$119))))))</f>
        <v>3683.267128824903</v>
      </c>
      <c r="P115" s="14">
        <f>IF($C$6&lt;10000,PMT($C$7/12,2*12,-($O$119)),IF($C$6&lt;20000,PMT($C$7/12,5*12,(0.9)*-($O$119)),IF($C$6&lt;40000,PMT($C$7/12,(20-$O$73)*12,(0.88)*-($O$119)),IF($C$6&lt;60000,PMT($C$7/12,(25-$O$73)*12,(0.89)*-($O$119)),PMT($C$7/12,(30-10)*12,(0.915)*-($O$119))))))</f>
        <v>3776.2892330978311</v>
      </c>
      <c r="Q115" s="14">
        <f>IF($C$6&lt;10000,(PMT($C$7/12,2*12,-($O$119)))+(((P115*12)-((P115*12)-(P119*$C$7)))/12),IF($C$6&lt;20000,PMT($C$7/12,5*12,(0.9)*-($O$119)),IF($C$6&lt;40000,PMT($C$7/12,(20-$O$73)*12,(0.88)*-($O$119)),IF($C$6&lt;60000,PMT($C$7/12,(25-$O$73)*12,(0.89)*-($O$119)),PMT($C$7/12,(30-10)*12,(0.915)*-($O$119))))))</f>
        <v>3776.2892330978311</v>
      </c>
      <c r="R115" s="14">
        <f>IF($C$6&lt;10000,0,IF($C$6&lt;20000,PMT($C$7/12,3*12,(0.94)*-($Q$119)),IF($C$6&lt;40000,PMT($C$7/12,(20-$Q$73)*12,(0.9)*-($Q$119)),IF($C$6&lt;60000,PMT($C$7/12,(25-$Q$73)*12,(0.91)*-($Q$119)),PMT($C$7/12,(30-12)*12,(0.925)*-($Q$119))))))</f>
        <v>3893.069486410755</v>
      </c>
      <c r="S115" s="14">
        <f>IF($C$6&lt;10000,0,IF($C$6&lt;20000,PMT($C$7/12,3*12,(0.94)*-($Q$119)),IF($C$6&lt;40000,PMT($C$7/12,(20-$Q$73)*12,(0.9)*-($Q$119)),IF($C$6&lt;60000,PMT($C$7/12,(25-$Q$73)*12,(0.91)*-($Q$119)),PMT($C$7/12,(30-12)*12,(0.925)*-($Q$119))))))</f>
        <v>3893.069486410755</v>
      </c>
      <c r="T115" s="14">
        <f>IF($C$6&lt;10000,0,IF($C$6&lt;20000,(PMT($C$7/12,12,-($S$119))),IF($C$6&lt;40000,PMT($C$7/12,(20-$S$73)*12,(0.93)*-($S$119)),IF($C$6&lt;60000,PMT($C$7/12,(25-$S$73)*12,(0.92)*-($S$119)),PMT($C$7/12,(30-14)*12,(0.935)*-($S$119))))))</f>
        <v>4009.9354659889441</v>
      </c>
      <c r="U115" s="14">
        <f>IF($C$6&lt;20000,0,IF($C$6&lt;40000,PMT($C$7/12,(20-$S$73)*12,(0.93)*-($S$119)),IF($C$6&lt;60000,PMT($C$7/12,(25-$S$73)*12,(0.92)*-($S$119)),PMT($C$7/12,(30-14)*12,(0.935)*-($S$119)))))</f>
        <v>4009.9354659889441</v>
      </c>
      <c r="V115" s="14">
        <f>IF($C$6&lt;10000,0,IF($C$6&lt;20000,0,IF($C$6&lt;40000,PMT($C$7/12,(20-$U$73)*12,(0.96)*-($U$119)),IF($C$6&lt;60000,PMT($C$7/12,(25-$U$73)*12,(0.94)*-($U$119)),PMT($C$7/12,(30-16)*12,(0.945)*-($U$119))))))</f>
        <v>4127.2758815215693</v>
      </c>
      <c r="W115" s="14">
        <f>IF($C$6&lt;10000,0,IF($C$6&lt;20000,0,IF($C$6&lt;40000,PMT($C$7/12,(20-$U$73)*12,(0.96)*-($U$119)),IF($C$6&lt;60000,PMT($C$7/12,(25-$U$73)*12,(0.94)*-($U$119)),PMT($C$7/12,(30-16)*12,(0.945)*-($U$119))))))</f>
        <v>4127.2758815215693</v>
      </c>
      <c r="X115" s="14">
        <f>IF($C$6&lt;10000,0,IF($C$6&lt;20000,0,IF($C$6&lt;40000,PMT($C$7/12,(20-$W$73)*12,-($W$119)),IF($C$6&lt;60000,PMT($C$7/12,(25-$W$73)*12,(0.96)*-($W$119)),PMT($C$7/12,(30-18)*12,(0.955)*-($W$119))))))</f>
        <v>4245.7788283778345</v>
      </c>
      <c r="Y115" s="14">
        <f>IF($C$6&lt;10000,0,IF($C$6&lt;20000,0,IF($C$6&lt;40000,(PMT($C$7/12,(20-$W$73)*12,-($W$119)))+(((X115*12)-((X115*12)-(X119*$C$7)))/12),IF($C$6&lt;60000,PMT($C$7/12,(25-$W$73)*12,(0.96)*-($W$119)),PMT($C$7/12,(30-18)*12,(0.955)*-($W$119))))))</f>
        <v>4245.7788283778345</v>
      </c>
      <c r="Z115" s="14">
        <f>IF($C$6&lt;40000,0,IF($C$6&lt;60000,PMT($C$7/12,(25-$Y$73)*12,(0.97)*-($Y$119)),PMT($C$7/12,(30-20)*12,(0.965)*-($Y$119))))</f>
        <v>4366.6565617678034</v>
      </c>
      <c r="AA115" s="14">
        <f>IF($C$6&lt;40000,0,IF($C$6&lt;60000,PMT($C$7/12,(25-$Y$73)*12,(0.97)*-($Y$119)),PMT($C$7/12,(30-20)*12,(0.965)*-($Y$119))))</f>
        <v>4366.6565617678034</v>
      </c>
      <c r="AB115" s="14">
        <f>IF($C$6&lt;40000,0,IF($C$6&lt;60000,PMT($C$7/12,(25-$AA$73)*12,(0.98)*-($AA$119)),PMT($C$7/12,(30-22)*12,(0.975)*-($AA$119))))</f>
        <v>4492.1496217477425</v>
      </c>
      <c r="AC115" s="14">
        <f>IF($C$6&lt;40000,0,IF($C$6&lt;60000,PMT($C$7/12,(25-$AA$73)*12,(0.98)*-($AA$119)),PMT($C$7/12,(30-22)*12,(0.975)*-($AA$119))))</f>
        <v>4492.1496217477425</v>
      </c>
      <c r="AD115" s="14">
        <f>IF($C$6&lt;40000,0,IF($C$6&lt;60000,PMT($C$7/12,12,-($AC$119)),PMT($C$7/12,(30-24)*12,(0.985)*-($AC$119))))</f>
        <v>4626.8697235866421</v>
      </c>
      <c r="AE115" s="14">
        <f>IF($C$6&lt;60000,0,PMT($C$7/12,(30-24)*12,(0.985)*-($AC$119)))</f>
        <v>4626.8697235866421</v>
      </c>
      <c r="AF115" s="14"/>
      <c r="AG115" s="14"/>
      <c r="AH115" s="14">
        <f>IF($C$6&lt;60000,0,PMT($C$7/12,(30-28)*12,-($AG$119)))</f>
        <v>0</v>
      </c>
      <c r="AI115" s="14">
        <f>IF($C$6&lt;60000,0,(PMT($C$7/12,(30-28)*12,-($AG$119)))+(((AH115*12)-((AH115*12)-(AH119*$C$7)))/12))</f>
        <v>0</v>
      </c>
    </row>
    <row r="116" spans="1:35" hidden="1" x14ac:dyDescent="0.35">
      <c r="A116" s="1"/>
      <c r="B116" s="1" t="s">
        <v>15</v>
      </c>
      <c r="C116" s="91"/>
      <c r="E116" s="92"/>
      <c r="F116" s="19">
        <f>F115*12</f>
        <v>39267.274171356985</v>
      </c>
      <c r="G116" s="19">
        <f>G115*12</f>
        <v>39267.274171356985</v>
      </c>
      <c r="H116" s="19">
        <f t="shared" ref="H116:N116" si="34">H115*12</f>
        <v>40597.31976370122</v>
      </c>
      <c r="I116" s="19">
        <f t="shared" si="34"/>
        <v>40597.31976370122</v>
      </c>
      <c r="J116" s="19">
        <f t="shared" si="34"/>
        <v>41451.300180201521</v>
      </c>
      <c r="K116" s="19">
        <f t="shared" si="34"/>
        <v>41451.300180201521</v>
      </c>
      <c r="L116" s="19">
        <f t="shared" si="34"/>
        <v>42828.425474116084</v>
      </c>
      <c r="M116" s="19">
        <f t="shared" si="34"/>
        <v>42828.425474116084</v>
      </c>
      <c r="N116" s="19">
        <f t="shared" si="34"/>
        <v>44199.205545898832</v>
      </c>
      <c r="O116" s="19">
        <f>O115*12</f>
        <v>44199.205545898832</v>
      </c>
      <c r="P116" s="19">
        <f t="shared" ref="P116:AI116" si="35">P115*12</f>
        <v>45315.47079717397</v>
      </c>
      <c r="Q116" s="19">
        <f t="shared" si="35"/>
        <v>45315.47079717397</v>
      </c>
      <c r="R116" s="26">
        <f t="shared" si="35"/>
        <v>46716.833836929058</v>
      </c>
      <c r="S116" s="26">
        <f t="shared" si="35"/>
        <v>46716.833836929058</v>
      </c>
      <c r="T116" s="26">
        <f t="shared" si="35"/>
        <v>48119.225591867333</v>
      </c>
      <c r="U116" s="26">
        <f t="shared" si="35"/>
        <v>48119.225591867333</v>
      </c>
      <c r="V116" s="26">
        <f t="shared" si="35"/>
        <v>49527.310578258832</v>
      </c>
      <c r="W116" s="26">
        <f t="shared" si="35"/>
        <v>49527.310578258832</v>
      </c>
      <c r="X116" s="26">
        <f t="shared" si="35"/>
        <v>50949.345940534011</v>
      </c>
      <c r="Y116" s="26">
        <f t="shared" si="35"/>
        <v>50949.345940534011</v>
      </c>
      <c r="Z116" s="26">
        <f t="shared" si="35"/>
        <v>52399.878741213644</v>
      </c>
      <c r="AA116" s="26">
        <f t="shared" si="35"/>
        <v>52399.878741213644</v>
      </c>
      <c r="AB116" s="26">
        <f t="shared" si="35"/>
        <v>53905.795460972906</v>
      </c>
      <c r="AC116" s="1">
        <f t="shared" si="35"/>
        <v>53905.795460972906</v>
      </c>
      <c r="AD116" s="1">
        <f t="shared" si="35"/>
        <v>55522.436683039705</v>
      </c>
      <c r="AE116" s="1">
        <f t="shared" si="35"/>
        <v>55522.436683039705</v>
      </c>
      <c r="AH116" s="1">
        <f t="shared" si="35"/>
        <v>0</v>
      </c>
      <c r="AI116" s="1">
        <f t="shared" si="35"/>
        <v>0</v>
      </c>
    </row>
    <row r="117" spans="1:35" hidden="1" x14ac:dyDescent="0.35">
      <c r="A117" s="1"/>
      <c r="B117" s="1" t="s">
        <v>6</v>
      </c>
      <c r="C117" s="91"/>
      <c r="E117" s="92"/>
      <c r="F117" s="19">
        <f>$C$6*$C$7</f>
        <v>40064.999400000001</v>
      </c>
      <c r="G117" s="19">
        <f t="shared" ref="G117:P117" si="36">IF(G115=0,0,F119*$C$7)</f>
        <v>40125.861232141171</v>
      </c>
      <c r="H117" s="19">
        <f t="shared" si="36"/>
        <v>40191.366470907298</v>
      </c>
      <c r="I117" s="19">
        <f t="shared" si="36"/>
        <v>40160.39457698186</v>
      </c>
      <c r="J117" s="19">
        <f t="shared" si="36"/>
        <v>40127.059706255008</v>
      </c>
      <c r="K117" s="19">
        <f t="shared" si="36"/>
        <v>40026.027798843767</v>
      </c>
      <c r="L117" s="19">
        <f t="shared" si="36"/>
        <v>39917.287739842257</v>
      </c>
      <c r="M117" s="19">
        <f t="shared" si="36"/>
        <v>39695.184727725449</v>
      </c>
      <c r="N117" s="19">
        <f t="shared" si="36"/>
        <v>39456.136537298938</v>
      </c>
      <c r="O117" s="19">
        <f t="shared" si="36"/>
        <v>39094.267739033123</v>
      </c>
      <c r="P117" s="19">
        <f t="shared" si="36"/>
        <v>38704.790439410717</v>
      </c>
      <c r="Q117" s="19">
        <f>IF(Q115=0,0,P119*$C$7)</f>
        <v>38200.433671156701</v>
      </c>
      <c r="R117" s="19">
        <f>IF(R115=0,0,Q119*$C$7)</f>
        <v>37657.597391579031</v>
      </c>
      <c r="S117" s="19">
        <f t="shared" ref="S117:AI117" si="37">IF(S115=0,0,R119*$C$7)</f>
        <v>36966.429921795068</v>
      </c>
      <c r="T117" s="19">
        <f t="shared" si="37"/>
        <v>36222.530362042016</v>
      </c>
      <c r="U117" s="19">
        <f t="shared" si="37"/>
        <v>35314.881158889824</v>
      </c>
      <c r="V117" s="19">
        <f t="shared" si="37"/>
        <v>34337.98355859307</v>
      </c>
      <c r="W117" s="19">
        <f t="shared" si="37"/>
        <v>33179.125548071432</v>
      </c>
      <c r="X117" s="19">
        <f t="shared" si="37"/>
        <v>31931.853357855627</v>
      </c>
      <c r="Y117" s="19">
        <f t="shared" si="37"/>
        <v>30480.928403054197</v>
      </c>
      <c r="Z117" s="19">
        <f t="shared" si="37"/>
        <v>28919.306245910589</v>
      </c>
      <c r="AA117" s="19">
        <f t="shared" si="37"/>
        <v>27127.874045353834</v>
      </c>
      <c r="AB117" s="19">
        <f t="shared" si="37"/>
        <v>25199.765904300588</v>
      </c>
      <c r="AC117" s="19">
        <f t="shared" si="37"/>
        <v>23009.661480388284</v>
      </c>
      <c r="AD117" s="19">
        <f t="shared" si="37"/>
        <v>20652.464725641068</v>
      </c>
      <c r="AE117" s="19">
        <f t="shared" si="37"/>
        <v>17992.087061958013</v>
      </c>
      <c r="AF117" s="19"/>
      <c r="AG117" s="19"/>
      <c r="AH117" s="19">
        <f t="shared" si="37"/>
        <v>0</v>
      </c>
      <c r="AI117" s="19">
        <f t="shared" si="37"/>
        <v>0</v>
      </c>
    </row>
    <row r="118" spans="1:35" hidden="1" x14ac:dyDescent="0.35">
      <c r="A118" s="1"/>
      <c r="B118" s="1" t="s">
        <v>14</v>
      </c>
      <c r="C118" s="91"/>
      <c r="E118" s="92"/>
      <c r="F118" s="19">
        <f>F116-F117</f>
        <v>-797.72522864301573</v>
      </c>
      <c r="G118" s="19">
        <f>G116-G117</f>
        <v>-858.58706078418618</v>
      </c>
      <c r="H118" s="19">
        <f t="shared" ref="H118:N118" si="38">H116-H117</f>
        <v>405.95329279392172</v>
      </c>
      <c r="I118" s="19">
        <f t="shared" si="38"/>
        <v>436.92518671935977</v>
      </c>
      <c r="J118" s="19">
        <f t="shared" si="38"/>
        <v>1324.2404739465128</v>
      </c>
      <c r="K118" s="19">
        <f t="shared" si="38"/>
        <v>1425.2723813577541</v>
      </c>
      <c r="L118" s="19">
        <f t="shared" si="38"/>
        <v>2911.1377342738269</v>
      </c>
      <c r="M118" s="19">
        <f t="shared" si="38"/>
        <v>3133.2407463906347</v>
      </c>
      <c r="N118" s="19">
        <f t="shared" si="38"/>
        <v>4743.069008599894</v>
      </c>
      <c r="O118" s="19">
        <f>O116-O117</f>
        <v>5104.9378068657097</v>
      </c>
      <c r="P118" s="19">
        <f t="shared" ref="P118:AI118" si="39">P116-P117</f>
        <v>6610.6803577632527</v>
      </c>
      <c r="Q118" s="19">
        <f t="shared" si="39"/>
        <v>7115.0371260172687</v>
      </c>
      <c r="R118" s="19">
        <f t="shared" si="39"/>
        <v>9059.2364453500268</v>
      </c>
      <c r="S118" s="19">
        <f t="shared" si="39"/>
        <v>9750.4039151339894</v>
      </c>
      <c r="T118" s="19">
        <f t="shared" si="39"/>
        <v>11896.695229825316</v>
      </c>
      <c r="U118" s="19">
        <f t="shared" si="39"/>
        <v>12804.344432977508</v>
      </c>
      <c r="V118" s="19">
        <f t="shared" si="39"/>
        <v>15189.327019665761</v>
      </c>
      <c r="W118" s="19">
        <f t="shared" si="39"/>
        <v>16348.1850301874</v>
      </c>
      <c r="X118" s="19">
        <f t="shared" si="39"/>
        <v>19017.492582678384</v>
      </c>
      <c r="Y118" s="19">
        <f t="shared" si="39"/>
        <v>20468.417537479814</v>
      </c>
      <c r="Z118" s="19">
        <f t="shared" si="39"/>
        <v>23480.572495303055</v>
      </c>
      <c r="AA118" s="19">
        <f t="shared" si="39"/>
        <v>25272.00469585981</v>
      </c>
      <c r="AB118" s="19">
        <f t="shared" si="39"/>
        <v>28706.029556672318</v>
      </c>
      <c r="AC118" s="19">
        <f t="shared" si="39"/>
        <v>30896.133980584622</v>
      </c>
      <c r="AD118" s="19">
        <f t="shared" si="39"/>
        <v>34869.971957398637</v>
      </c>
      <c r="AE118" s="19">
        <f t="shared" si="39"/>
        <v>37530.349621081696</v>
      </c>
      <c r="AF118" s="19"/>
      <c r="AG118" s="19"/>
      <c r="AH118" s="19">
        <f t="shared" si="39"/>
        <v>0</v>
      </c>
      <c r="AI118" s="19">
        <f t="shared" si="39"/>
        <v>0</v>
      </c>
    </row>
    <row r="119" spans="1:35" hidden="1" x14ac:dyDescent="0.35">
      <c r="A119" s="1"/>
      <c r="B119" s="1" t="s">
        <v>8</v>
      </c>
      <c r="C119" s="91"/>
      <c r="E119" s="92"/>
      <c r="F119" s="19">
        <f>$C$6-F118</f>
        <v>525935.72522864304</v>
      </c>
      <c r="G119" s="19">
        <f t="shared" ref="G119:Q119" si="40">IF(G115=0,0,F119-G118)</f>
        <v>526794.31228942727</v>
      </c>
      <c r="H119" s="19">
        <f t="shared" si="40"/>
        <v>526388.35899663332</v>
      </c>
      <c r="I119" s="19">
        <f t="shared" si="40"/>
        <v>525951.43380991393</v>
      </c>
      <c r="J119" s="19">
        <f t="shared" si="40"/>
        <v>524627.19333596737</v>
      </c>
      <c r="K119" s="19">
        <f t="shared" si="40"/>
        <v>523201.92095460964</v>
      </c>
      <c r="L119" s="19">
        <f t="shared" si="40"/>
        <v>520290.78322033584</v>
      </c>
      <c r="M119" s="19">
        <f t="shared" si="40"/>
        <v>517157.54247394518</v>
      </c>
      <c r="N119" s="19">
        <f t="shared" si="40"/>
        <v>512414.47346534528</v>
      </c>
      <c r="O119" s="19">
        <f t="shared" si="40"/>
        <v>507309.53565847955</v>
      </c>
      <c r="P119" s="19">
        <f t="shared" si="40"/>
        <v>500698.8553007163</v>
      </c>
      <c r="Q119" s="19">
        <f t="shared" si="40"/>
        <v>493583.81817469903</v>
      </c>
      <c r="R119" s="19">
        <f>IF(R115=0,0,Q119-R118)</f>
        <v>484524.58172934898</v>
      </c>
      <c r="S119" s="19">
        <f t="shared" ref="S119:AI119" si="41">IF(S115=0,0,R119-S118)</f>
        <v>474774.17781421501</v>
      </c>
      <c r="T119" s="19">
        <f t="shared" si="41"/>
        <v>462877.48258438968</v>
      </c>
      <c r="U119" s="19">
        <f t="shared" si="41"/>
        <v>450073.13815141219</v>
      </c>
      <c r="V119" s="19">
        <f t="shared" si="41"/>
        <v>434883.81113174645</v>
      </c>
      <c r="W119" s="19">
        <f t="shared" si="41"/>
        <v>418535.62610155903</v>
      </c>
      <c r="X119" s="19">
        <f t="shared" si="41"/>
        <v>399518.13351888064</v>
      </c>
      <c r="Y119" s="19">
        <f t="shared" si="41"/>
        <v>379049.7159814008</v>
      </c>
      <c r="Z119" s="19">
        <f t="shared" si="41"/>
        <v>355569.14348609775</v>
      </c>
      <c r="AA119" s="19">
        <f t="shared" si="41"/>
        <v>330297.13879023795</v>
      </c>
      <c r="AB119" s="19">
        <f t="shared" si="41"/>
        <v>301591.10923356563</v>
      </c>
      <c r="AC119" s="19">
        <f t="shared" si="41"/>
        <v>270694.97525298101</v>
      </c>
      <c r="AD119" s="19">
        <f t="shared" si="41"/>
        <v>235825.00329558237</v>
      </c>
      <c r="AE119" s="19">
        <f t="shared" si="41"/>
        <v>198294.65367450067</v>
      </c>
      <c r="AF119" s="19"/>
      <c r="AG119" s="19"/>
      <c r="AH119" s="19">
        <f t="shared" si="41"/>
        <v>0</v>
      </c>
      <c r="AI119" s="19">
        <f t="shared" si="41"/>
        <v>0</v>
      </c>
    </row>
    <row r="120" spans="1:35" hidden="1" x14ac:dyDescent="0.35">
      <c r="A120" s="1"/>
      <c r="C120" s="91"/>
      <c r="E120" s="92"/>
      <c r="F120" s="19"/>
      <c r="G120" s="19"/>
      <c r="H120" s="19"/>
      <c r="I120" s="19"/>
      <c r="J120" s="19"/>
      <c r="K120" s="19"/>
      <c r="L120" s="19"/>
      <c r="M120" s="19"/>
      <c r="N120" s="19"/>
      <c r="O120" s="19"/>
      <c r="P120" s="19"/>
      <c r="Q120" s="19"/>
      <c r="R120" s="19"/>
      <c r="S120" s="19"/>
      <c r="T120" s="19"/>
      <c r="U120" s="19"/>
      <c r="V120" s="19"/>
      <c r="W120" s="19"/>
      <c r="X120" s="19"/>
      <c r="Y120" s="19"/>
    </row>
    <row r="121" spans="1:35" hidden="1" x14ac:dyDescent="0.35">
      <c r="A121" s="1"/>
      <c r="B121" s="85" t="s">
        <v>76</v>
      </c>
      <c r="C121" s="91"/>
      <c r="E121" s="92"/>
      <c r="F121" s="19">
        <f t="shared" ref="F121:AD121" si="42">MAX(0,F76-F77)+N("Annual income minus exemption")</f>
        <v>59945</v>
      </c>
      <c r="G121" s="19">
        <f t="shared" si="42"/>
        <v>84801.859499999991</v>
      </c>
      <c r="H121" s="19">
        <f t="shared" si="42"/>
        <v>157667.59617345</v>
      </c>
      <c r="I121" s="19">
        <f t="shared" si="42"/>
        <v>280981.93083740358</v>
      </c>
      <c r="J121" s="19">
        <f t="shared" si="42"/>
        <v>289504.57730142243</v>
      </c>
      <c r="K121" s="19">
        <f t="shared" si="42"/>
        <v>298285.24219168816</v>
      </c>
      <c r="L121" s="19">
        <f t="shared" si="42"/>
        <v>307331.72477069957</v>
      </c>
      <c r="M121" s="19">
        <f t="shared" si="42"/>
        <v>316652.0597524441</v>
      </c>
      <c r="N121" s="19">
        <f t="shared" si="42"/>
        <v>326254.52440293046</v>
      </c>
      <c r="O121" s="19">
        <f t="shared" si="42"/>
        <v>336147.64585466502</v>
      </c>
      <c r="P121" s="19">
        <f t="shared" si="42"/>
        <v>346340.20864151476</v>
      </c>
      <c r="Q121" s="19">
        <f t="shared" si="42"/>
        <v>356841.26246059133</v>
      </c>
      <c r="R121" s="19">
        <f t="shared" si="42"/>
        <v>367660.13016799197</v>
      </c>
      <c r="S121" s="19">
        <f t="shared" si="42"/>
        <v>378806.41601543763</v>
      </c>
      <c r="T121" s="19">
        <f t="shared" si="42"/>
        <v>390290.01413506101</v>
      </c>
      <c r="U121" s="19">
        <f t="shared" si="42"/>
        <v>402121.11727981595</v>
      </c>
      <c r="V121" s="19">
        <f t="shared" si="42"/>
        <v>414310.22582720325</v>
      </c>
      <c r="W121" s="19">
        <f t="shared" si="42"/>
        <v>426868.15705423988</v>
      </c>
      <c r="X121" s="19">
        <f t="shared" si="42"/>
        <v>439806.05469183833</v>
      </c>
      <c r="Y121" s="19">
        <f t="shared" si="42"/>
        <v>453135.39876700664</v>
      </c>
      <c r="Z121" s="19">
        <f t="shared" si="42"/>
        <v>466868.01574153372</v>
      </c>
      <c r="AA121" s="19">
        <f t="shared" si="42"/>
        <v>481016.08895608573</v>
      </c>
      <c r="AB121" s="19">
        <f t="shared" si="42"/>
        <v>495592.16938890622</v>
      </c>
      <c r="AC121" s="19">
        <f t="shared" si="42"/>
        <v>510609.18673859118</v>
      </c>
      <c r="AD121" s="19">
        <f t="shared" si="42"/>
        <v>526080.46084069391</v>
      </c>
      <c r="AE121" s="19"/>
      <c r="AF121" s="19"/>
      <c r="AG121" s="19"/>
      <c r="AH121" s="19">
        <f t="shared" ref="AH121:AI121" si="43">AH76-AH77+N("Annual income minus exemption")</f>
        <v>0</v>
      </c>
      <c r="AI121" s="19">
        <f t="shared" si="43"/>
        <v>0</v>
      </c>
    </row>
    <row r="122" spans="1:35" ht="16" hidden="1" thickBot="1" x14ac:dyDescent="0.4">
      <c r="A122" s="1"/>
      <c r="B122" s="88" t="s">
        <v>77</v>
      </c>
      <c r="C122" s="91"/>
      <c r="E122" s="92"/>
      <c r="F122" s="19">
        <f>F121*$C$11+N("Income minus poverty rate for family size multiplied by the percentage of share of income you must pay")</f>
        <v>8991.75</v>
      </c>
      <c r="G122" s="19">
        <f t="shared" ref="G122:AD122" si="44">G121*$C$11+N("Income minus exemption multiplied by the percentage of share of income you must pay")</f>
        <v>12720.278924999999</v>
      </c>
      <c r="H122" s="19">
        <f t="shared" si="44"/>
        <v>23650.1394260175</v>
      </c>
      <c r="I122" s="19">
        <f t="shared" si="44"/>
        <v>42147.289625610538</v>
      </c>
      <c r="J122" s="19">
        <f t="shared" si="44"/>
        <v>43425.686595213359</v>
      </c>
      <c r="K122" s="19">
        <f t="shared" si="44"/>
        <v>44742.786328753224</v>
      </c>
      <c r="L122" s="19">
        <f t="shared" si="44"/>
        <v>46099.758715604934</v>
      </c>
      <c r="M122" s="19">
        <f t="shared" si="44"/>
        <v>47497.808962866613</v>
      </c>
      <c r="N122" s="19">
        <f t="shared" si="44"/>
        <v>48938.178660439567</v>
      </c>
      <c r="O122" s="19">
        <f t="shared" si="44"/>
        <v>50422.146878199754</v>
      </c>
      <c r="P122" s="19">
        <f t="shared" si="44"/>
        <v>51951.031296227215</v>
      </c>
      <c r="Q122" s="19">
        <f t="shared" si="44"/>
        <v>53526.189369088701</v>
      </c>
      <c r="R122" s="19">
        <f t="shared" si="44"/>
        <v>55149.019525198797</v>
      </c>
      <c r="S122" s="19">
        <f t="shared" si="44"/>
        <v>56820.962402315643</v>
      </c>
      <c r="T122" s="19">
        <f t="shared" si="44"/>
        <v>58543.502120259152</v>
      </c>
      <c r="U122" s="19">
        <f t="shared" si="44"/>
        <v>60318.167591972393</v>
      </c>
      <c r="V122" s="19">
        <f t="shared" si="44"/>
        <v>62146.533874080487</v>
      </c>
      <c r="W122" s="19">
        <f t="shared" si="44"/>
        <v>64030.223558135978</v>
      </c>
      <c r="X122" s="19">
        <f t="shared" si="44"/>
        <v>65970.908203775747</v>
      </c>
      <c r="Y122" s="19">
        <f t="shared" si="44"/>
        <v>67970.30981505099</v>
      </c>
      <c r="Z122" s="19">
        <f t="shared" si="44"/>
        <v>70030.202361230055</v>
      </c>
      <c r="AA122" s="19">
        <f t="shared" si="44"/>
        <v>72152.41334341286</v>
      </c>
      <c r="AB122" s="19">
        <f t="shared" si="44"/>
        <v>74338.825408335935</v>
      </c>
      <c r="AC122" s="19">
        <f t="shared" si="44"/>
        <v>76591.378010788671</v>
      </c>
      <c r="AD122" s="19">
        <f t="shared" si="44"/>
        <v>78912.069126104077</v>
      </c>
      <c r="AE122" s="19"/>
      <c r="AF122" s="19"/>
      <c r="AG122" s="19"/>
      <c r="AH122" s="19"/>
      <c r="AI122" s="19"/>
    </row>
    <row r="123" spans="1:35" hidden="1" x14ac:dyDescent="0.35">
      <c r="A123" s="1"/>
      <c r="C123" s="91"/>
      <c r="E123" s="96" t="s">
        <v>79</v>
      </c>
      <c r="F123" s="14">
        <f t="shared" ref="F123:AD123" si="45">MAX(0,F121*0.1)</f>
        <v>5994.5</v>
      </c>
      <c r="G123" s="14">
        <f t="shared" si="45"/>
        <v>8480.1859499999991</v>
      </c>
      <c r="H123" s="14">
        <f t="shared" si="45"/>
        <v>15766.759617345</v>
      </c>
      <c r="I123" s="14">
        <f t="shared" si="45"/>
        <v>28098.19308374036</v>
      </c>
      <c r="J123" s="14">
        <f t="shared" si="45"/>
        <v>28950.457730142243</v>
      </c>
      <c r="K123" s="14">
        <f t="shared" si="45"/>
        <v>29828.524219168816</v>
      </c>
      <c r="L123" s="14">
        <f t="shared" si="45"/>
        <v>30733.172477069958</v>
      </c>
      <c r="M123" s="14">
        <f t="shared" si="45"/>
        <v>31665.205975244411</v>
      </c>
      <c r="N123" s="14">
        <f t="shared" si="45"/>
        <v>32625.452440293047</v>
      </c>
      <c r="O123" s="14">
        <f t="shared" si="45"/>
        <v>33614.764585466502</v>
      </c>
      <c r="P123" s="14">
        <f t="shared" si="45"/>
        <v>34634.020864151476</v>
      </c>
      <c r="Q123" s="14">
        <f t="shared" si="45"/>
        <v>35684.126246059132</v>
      </c>
      <c r="R123" s="14">
        <f t="shared" si="45"/>
        <v>36766.013016799196</v>
      </c>
      <c r="S123" s="14">
        <f t="shared" si="45"/>
        <v>37880.641601543764</v>
      </c>
      <c r="T123" s="14">
        <f t="shared" si="45"/>
        <v>39029.001413506099</v>
      </c>
      <c r="U123" s="193">
        <f t="shared" si="45"/>
        <v>40212.111727981595</v>
      </c>
      <c r="V123" s="14">
        <f t="shared" si="45"/>
        <v>41431.022582720325</v>
      </c>
      <c r="W123" s="14">
        <f t="shared" si="45"/>
        <v>42686.815705423993</v>
      </c>
      <c r="X123" s="14">
        <f t="shared" si="45"/>
        <v>43980.605469183836</v>
      </c>
      <c r="Y123" s="14">
        <f t="shared" si="45"/>
        <v>45313.53987670067</v>
      </c>
      <c r="Z123" s="14">
        <f t="shared" si="45"/>
        <v>46686.801574153375</v>
      </c>
      <c r="AA123" s="14">
        <f t="shared" si="45"/>
        <v>48101.608895608573</v>
      </c>
      <c r="AB123" s="14">
        <f t="shared" si="45"/>
        <v>49559.216938890626</v>
      </c>
      <c r="AC123" s="14">
        <f t="shared" si="45"/>
        <v>51060.918673859123</v>
      </c>
      <c r="AD123" s="14">
        <f t="shared" si="45"/>
        <v>52608.046084069392</v>
      </c>
    </row>
    <row r="124" spans="1:35" hidden="1" x14ac:dyDescent="0.35">
      <c r="A124" s="1"/>
      <c r="B124" s="9"/>
      <c r="C124" s="91"/>
      <c r="E124" s="96" t="s">
        <v>52</v>
      </c>
      <c r="F124" s="80">
        <f>$D$85*$C$7</f>
        <v>40064.999400000001</v>
      </c>
      <c r="G124" s="80">
        <f t="shared" ref="G124:AD124" si="46">$D$85*$C$7</f>
        <v>40064.999400000001</v>
      </c>
      <c r="H124" s="80">
        <f t="shared" si="46"/>
        <v>40064.999400000001</v>
      </c>
      <c r="I124" s="80">
        <f t="shared" si="46"/>
        <v>40064.999400000001</v>
      </c>
      <c r="J124" s="80">
        <f t="shared" si="46"/>
        <v>40064.999400000001</v>
      </c>
      <c r="K124" s="80">
        <f t="shared" si="46"/>
        <v>40064.999400000001</v>
      </c>
      <c r="L124" s="80">
        <f t="shared" si="46"/>
        <v>40064.999400000001</v>
      </c>
      <c r="M124" s="80">
        <f t="shared" si="46"/>
        <v>40064.999400000001</v>
      </c>
      <c r="N124" s="80">
        <f t="shared" si="46"/>
        <v>40064.999400000001</v>
      </c>
      <c r="O124" s="80">
        <f t="shared" si="46"/>
        <v>40064.999400000001</v>
      </c>
      <c r="P124" s="80">
        <f t="shared" si="46"/>
        <v>40064.999400000001</v>
      </c>
      <c r="Q124" s="80">
        <f t="shared" si="46"/>
        <v>40064.999400000001</v>
      </c>
      <c r="R124" s="80">
        <f t="shared" si="46"/>
        <v>40064.999400000001</v>
      </c>
      <c r="S124" s="80">
        <f t="shared" si="46"/>
        <v>40064.999400000001</v>
      </c>
      <c r="T124" s="80">
        <f t="shared" si="46"/>
        <v>40064.999400000001</v>
      </c>
      <c r="U124" s="194">
        <f t="shared" si="46"/>
        <v>40064.999400000001</v>
      </c>
      <c r="V124" s="80">
        <f t="shared" si="46"/>
        <v>40064.999400000001</v>
      </c>
      <c r="W124" s="80">
        <f t="shared" si="46"/>
        <v>40064.999400000001</v>
      </c>
      <c r="X124" s="80">
        <f t="shared" si="46"/>
        <v>40064.999400000001</v>
      </c>
      <c r="Y124" s="80">
        <f t="shared" si="46"/>
        <v>40064.999400000001</v>
      </c>
      <c r="Z124" s="80">
        <f t="shared" si="46"/>
        <v>40064.999400000001</v>
      </c>
      <c r="AA124" s="80">
        <f t="shared" si="46"/>
        <v>40064.999400000001</v>
      </c>
      <c r="AB124" s="80">
        <f t="shared" si="46"/>
        <v>40064.999400000001</v>
      </c>
      <c r="AC124" s="80">
        <f t="shared" si="46"/>
        <v>40064.999400000001</v>
      </c>
      <c r="AD124" s="80">
        <f t="shared" si="46"/>
        <v>40064.999400000001</v>
      </c>
    </row>
    <row r="125" spans="1:35" hidden="1" x14ac:dyDescent="0.35">
      <c r="A125" s="1"/>
      <c r="C125" s="91"/>
      <c r="E125" s="96" t="s">
        <v>81</v>
      </c>
      <c r="F125" s="14">
        <f>((($C$22*$C$7)-((F127*12)*C28))/2)+N("CNAPP equals the annual interest on unsubs minus the the percentage of the annual IBR payment that would be put towards unsubs")</f>
        <v>15110.869665221715</v>
      </c>
      <c r="G125" s="19">
        <f>IF(
F125=-$C$6+N("IF the principal payment from the previous year equals the original loan balance then"),
0+N("The CAN/PP euals zero, because you have paid of the loan")+N("if CAN/PP does not equal the original loan balance, then..."),
IF(
$C$7=0+N("If the interest rate is zero, then"),
(-(G127*12))+F125+N("CNAPP equals the last year's CNAPP minus whatever the annual IBR payment was")+N("If the interest rate is not zero, then..."),
IF(
G124=0+N("If the annual interest paid equals zero, then..."),
0+N("CNAPP equals zero")+N("If the annual interest rate does not equal zero, then..."),
((($C$22*$C$7)-((G127*12)*$C$28)))/2)+F125+N("CNAPP equals the previous CNAPP plus the annual interest on unsubs minus the the percentage of the annual IBR payment that would be put towards unsubs")))</f>
        <v>29119.293605238629</v>
      </c>
      <c r="H125" s="19">
        <f>IF(
G125=-$C$6+N("IF the principal payment from the previous year equals the original loan balance then"),
0+N("The CAN/PP euals zero, because you have paid of the loan")+N("if CAN/PP does not equal the original loan balance, then..."),
IF(
$C$7=0+N("If the interest rate is zero, then"),
(-(H127*12))+G125+N("CNAPP equals the last year's CNAPP minus whatever the annual IBR payment was")+N("If the interest rate is not zero, then..."),
IF(
H124=0+N("If the annual interest paid equals zero, then..."),
0+N("CNAPP equals zero")+N("If the annual interest rate does not equal zero, then..."),
((($C$22*$C$7)-((H127*12)*$C$28)))/2)+G125+N("CNAPP equals the previous CNAPP plus the annual interest on unsubs minus the the percentage of the annual IBR payment that would be put towards unsubs")))</f>
        <v>39895.993122886583</v>
      </c>
      <c r="I125" s="19">
        <f>IF(
H125=-$C6+N("IF the principal payment from the previous year equals the original loan balance then"),
0+N("The CAN/PP euals zero, because you have paid of the loan")+N("if CAN/PP does not equal the original loan balance, then..."),
IF(
$C7=0+N("If the interest rate is zero, then"),
(-(I127*12))+H125+N("CNAPP equals the last year's CNAPP minus whatever the annual IBR payment was")+N("If the interest rate is not zero, then..."),
IF(
I124=0+N("If the annual interest paid equals zero, then..."),
0+N("CNAPP equals zero")+N("If the annual interest rate does not equal zero, then..."),
(I124-(I127*12))/2)+H125+N("CNAPP equals the previous CNAPP plus the annual interest minus the annual IBR payment")))</f>
        <v>45879.396281016401</v>
      </c>
      <c r="J125" s="19">
        <f>IF(
I125=-$C6+N("IF the principal payment from the previous year equals the original loan balance then"),
0+N("The CAN/PP euals zero, because you have paid of the loan")+N("if CAN/PP does not equal the original loan balance, then..."),
IF(
$C7=0+N("If the interest rate is zero, then"),
(-(J127*12))+I125+N("CNAPP equals the last year's CNAPP minus whatever the annual IBR payment was")+N("If the interest rate is not zero, then..."),
IF(
J124=0+N("If the annual interest paid equals zero, then..."),
0+N("CNAPP equals zero")+N("If the annual interest rate does not equal zero, then..."),
(J124-(J127*12))/2)+I125+N("CNAPP equals the previous CNAPP plus the annual interest minus the annual IBR payment")))</f>
        <v>51436.667115945282</v>
      </c>
      <c r="K125" s="19">
        <f t="shared" ref="K125:AD125" si="47">IF(
J125=-$C6+N("IF the principal payment from the previous year equals the original loan balance then"),
0+N("The CAN/PP euals zero, because you have paid of the loan")+N("if CAN/PP does not equal the original loan balance, then..."),
IF(
$C7=0+N("If the interest rate is zero, then"),
(-(K127*12))+J125+N("CNAPP equals the last year's CNAPP minus whatever the annual IBR payment was")+N("If the interest rate is not zero, then..."),
IF(
K124=0+N("If the annual interest paid equals zero, then..."),
0+N("CNAPP equals zero")+N("If the annual interest rate does not equal zero, then..."),
(K124-(K127*12))/2)+J125+N("CNAPP equals the previous CNAPP plus the annual interest minus the annual IBR payment")))</f>
        <v>56554.904706360874</v>
      </c>
      <c r="L125" s="19">
        <f t="shared" si="47"/>
        <v>61220.818167825899</v>
      </c>
      <c r="M125" s="19">
        <f t="shared" si="47"/>
        <v>65420.714880203697</v>
      </c>
      <c r="N125" s="19">
        <f t="shared" si="47"/>
        <v>69140.488360057177</v>
      </c>
      <c r="O125" s="19">
        <f t="shared" si="47"/>
        <v>72365.605767323927</v>
      </c>
      <c r="P125" s="19">
        <f t="shared" si="47"/>
        <v>75081.095035248189</v>
      </c>
      <c r="Q125" s="19">
        <f t="shared" si="47"/>
        <v>77271.53161221862</v>
      </c>
      <c r="R125" s="19">
        <f t="shared" si="47"/>
        <v>78921.024803819018</v>
      </c>
      <c r="S125" s="19">
        <f t="shared" si="47"/>
        <v>80013.20370304714</v>
      </c>
      <c r="T125" s="19">
        <f t="shared" si="47"/>
        <v>80531.202696294087</v>
      </c>
      <c r="U125" s="19">
        <f t="shared" si="47"/>
        <v>80457.64653230329</v>
      </c>
      <c r="V125" s="19">
        <f t="shared" si="47"/>
        <v>79774.634940943128</v>
      </c>
      <c r="W125" s="19">
        <f t="shared" si="47"/>
        <v>78463.726788231128</v>
      </c>
      <c r="X125" s="19">
        <f t="shared" si="47"/>
        <v>76505.923753639217</v>
      </c>
      <c r="Y125" s="19">
        <f t="shared" si="47"/>
        <v>73881.653515288883</v>
      </c>
      <c r="Z125" s="19">
        <f t="shared" si="47"/>
        <v>70570.752428212203</v>
      </c>
      <c r="AA125" s="19">
        <f t="shared" si="47"/>
        <v>66552.447680407917</v>
      </c>
      <c r="AB125" s="19">
        <f t="shared" si="47"/>
        <v>61805.3389109626</v>
      </c>
      <c r="AC125" s="19">
        <f t="shared" si="47"/>
        <v>56307.379274033039</v>
      </c>
      <c r="AD125" s="19">
        <f t="shared" si="47"/>
        <v>50035.85593199834</v>
      </c>
    </row>
    <row r="126" spans="1:35" hidden="1" x14ac:dyDescent="0.35">
      <c r="A126" s="1"/>
      <c r="C126" s="91"/>
      <c r="E126" s="96" t="s">
        <v>82</v>
      </c>
      <c r="F126" s="19">
        <f>$C$6+F125</f>
        <v>540248.86966522166</v>
      </c>
      <c r="G126" s="19">
        <f t="shared" ref="G126:AD126" si="48">$C$6+G125</f>
        <v>554257.29360523866</v>
      </c>
      <c r="H126" s="19">
        <f t="shared" si="48"/>
        <v>565033.99312288663</v>
      </c>
      <c r="I126" s="19">
        <f t="shared" si="48"/>
        <v>571017.39628101641</v>
      </c>
      <c r="J126" s="19">
        <f t="shared" si="48"/>
        <v>576574.66711594525</v>
      </c>
      <c r="K126" s="19">
        <f t="shared" si="48"/>
        <v>581692.90470636089</v>
      </c>
      <c r="L126" s="19">
        <f t="shared" si="48"/>
        <v>586358.81816782593</v>
      </c>
      <c r="M126" s="19">
        <f t="shared" si="48"/>
        <v>590558.71488020371</v>
      </c>
      <c r="N126" s="19">
        <f t="shared" si="48"/>
        <v>594278.48836005712</v>
      </c>
      <c r="O126" s="19">
        <f t="shared" si="48"/>
        <v>597503.60576732387</v>
      </c>
      <c r="P126" s="19">
        <f t="shared" si="48"/>
        <v>600219.0950352482</v>
      </c>
      <c r="Q126" s="19">
        <f t="shared" si="48"/>
        <v>602409.53161221859</v>
      </c>
      <c r="R126" s="19">
        <f t="shared" si="48"/>
        <v>604059.02480381902</v>
      </c>
      <c r="S126" s="19">
        <f t="shared" si="48"/>
        <v>605151.20370304713</v>
      </c>
      <c r="T126" s="19">
        <f t="shared" si="48"/>
        <v>605669.20269629406</v>
      </c>
      <c r="U126" s="19">
        <f t="shared" si="48"/>
        <v>605595.6465323033</v>
      </c>
      <c r="V126" s="19">
        <f t="shared" si="48"/>
        <v>604912.6349409431</v>
      </c>
      <c r="W126" s="19">
        <f t="shared" si="48"/>
        <v>603601.72678823117</v>
      </c>
      <c r="X126" s="19">
        <f t="shared" si="48"/>
        <v>601643.92375363922</v>
      </c>
      <c r="Y126" s="19">
        <f t="shared" si="48"/>
        <v>599019.65351528884</v>
      </c>
      <c r="Z126" s="19">
        <f t="shared" si="48"/>
        <v>595708.7524282122</v>
      </c>
      <c r="AA126" s="19">
        <f t="shared" si="48"/>
        <v>591690.4476804079</v>
      </c>
      <c r="AB126" s="19">
        <f t="shared" si="48"/>
        <v>586943.33891096257</v>
      </c>
      <c r="AC126" s="19">
        <f t="shared" si="48"/>
        <v>581445.37927403301</v>
      </c>
      <c r="AD126" s="19">
        <f t="shared" si="48"/>
        <v>575173.85593199835</v>
      </c>
    </row>
    <row r="127" spans="1:35" ht="16" thickBot="1" x14ac:dyDescent="0.4">
      <c r="A127" s="1"/>
      <c r="C127" s="88"/>
      <c r="D127" s="89"/>
      <c r="E127" s="109" t="s">
        <v>83</v>
      </c>
      <c r="F127" s="14">
        <f t="shared" ref="F127:AD127" si="49">MAX(0,(F121*0.1)/12)</f>
        <v>499.54166666666669</v>
      </c>
      <c r="G127" s="14">
        <f t="shared" si="49"/>
        <v>706.68216249999989</v>
      </c>
      <c r="H127" s="14">
        <f t="shared" si="49"/>
        <v>1313.89663477875</v>
      </c>
      <c r="I127" s="14">
        <f t="shared" si="49"/>
        <v>2341.5160903116966</v>
      </c>
      <c r="J127" s="14">
        <f t="shared" si="49"/>
        <v>2412.5381441785203</v>
      </c>
      <c r="K127" s="14">
        <f t="shared" si="49"/>
        <v>2485.7103515974013</v>
      </c>
      <c r="L127" s="14">
        <f t="shared" si="49"/>
        <v>2561.0977064224967</v>
      </c>
      <c r="M127" s="14">
        <f t="shared" si="49"/>
        <v>2638.7671646037011</v>
      </c>
      <c r="N127" s="14">
        <f t="shared" si="49"/>
        <v>2718.7877033577538</v>
      </c>
      <c r="O127" s="14">
        <f t="shared" si="49"/>
        <v>2801.2303821222085</v>
      </c>
      <c r="P127" s="14">
        <f t="shared" si="49"/>
        <v>2886.1684053459562</v>
      </c>
      <c r="Q127" s="14">
        <f t="shared" si="49"/>
        <v>2973.6771871715941</v>
      </c>
      <c r="R127" s="14">
        <f t="shared" si="49"/>
        <v>3063.8344180665995</v>
      </c>
      <c r="S127" s="14">
        <f t="shared" si="49"/>
        <v>3156.7201334619804</v>
      </c>
      <c r="T127" s="14">
        <f t="shared" si="49"/>
        <v>3252.4167844588414</v>
      </c>
      <c r="U127" s="14">
        <f t="shared" si="49"/>
        <v>3351.0093106651329</v>
      </c>
      <c r="V127" s="14">
        <f t="shared" si="49"/>
        <v>3452.5852152266939</v>
      </c>
      <c r="W127" s="14">
        <f t="shared" si="49"/>
        <v>3557.2346421186662</v>
      </c>
      <c r="X127" s="14">
        <f t="shared" si="49"/>
        <v>3665.0504557653198</v>
      </c>
      <c r="Y127" s="14">
        <f t="shared" si="49"/>
        <v>3776.128323058389</v>
      </c>
      <c r="Z127" s="14">
        <f t="shared" si="49"/>
        <v>3890.5667978461147</v>
      </c>
      <c r="AA127" s="14">
        <f t="shared" si="49"/>
        <v>4008.467407967381</v>
      </c>
      <c r="AB127" s="14">
        <f t="shared" si="49"/>
        <v>4129.9347449075522</v>
      </c>
      <c r="AC127" s="14">
        <f t="shared" si="49"/>
        <v>4255.0765561549269</v>
      </c>
      <c r="AD127" s="14">
        <f t="shared" si="49"/>
        <v>4384.0038403391163</v>
      </c>
    </row>
    <row r="128" spans="1:35" x14ac:dyDescent="0.35">
      <c r="A128" s="1"/>
      <c r="B128" s="29"/>
      <c r="C128" s="277"/>
      <c r="D128" s="277"/>
      <c r="E128" s="27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row>
    <row r="129" spans="1:30" x14ac:dyDescent="0.35">
      <c r="A129" s="1"/>
      <c r="C129" s="275"/>
      <c r="D129" s="275"/>
      <c r="E129" s="275"/>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row>
    <row r="130" spans="1:30" x14ac:dyDescent="0.35">
      <c r="A130" s="1"/>
      <c r="D130" s="21"/>
      <c r="E130" s="76"/>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row>
    <row r="131" spans="1:30" x14ac:dyDescent="0.35">
      <c r="A131" s="1"/>
      <c r="D131" s="77"/>
      <c r="E131" s="77"/>
    </row>
    <row r="132" spans="1:30" x14ac:dyDescent="0.35">
      <c r="A132" s="1"/>
      <c r="D132" s="8"/>
      <c r="E132" s="8"/>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row>
    <row r="133" spans="1:30" x14ac:dyDescent="0.35">
      <c r="A133" s="1"/>
      <c r="D133" s="22"/>
      <c r="E133" s="8"/>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row>
    <row r="134" spans="1:30" x14ac:dyDescent="0.35">
      <c r="A134" s="1"/>
      <c r="B134" s="9"/>
      <c r="D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row>
    <row r="135" spans="1:30" x14ac:dyDescent="0.35">
      <c r="A135" s="1"/>
      <c r="F135" s="79"/>
      <c r="G135" s="79"/>
      <c r="H135" s="79"/>
      <c r="I135" s="79"/>
      <c r="J135" s="79"/>
      <c r="K135" s="79"/>
      <c r="L135" s="79"/>
      <c r="M135" s="79"/>
      <c r="N135" s="79"/>
      <c r="O135" s="79"/>
    </row>
    <row r="136" spans="1:30" x14ac:dyDescent="0.35">
      <c r="A136" s="1"/>
      <c r="F136" s="79"/>
      <c r="G136" s="79"/>
      <c r="H136" s="79"/>
      <c r="I136" s="79"/>
      <c r="J136" s="79"/>
      <c r="K136" s="79"/>
      <c r="L136" s="79"/>
      <c r="M136" s="79"/>
      <c r="N136" s="79"/>
      <c r="O136" s="79"/>
      <c r="Z136" s="48"/>
    </row>
    <row r="137" spans="1:30" x14ac:dyDescent="0.35">
      <c r="A137" s="1"/>
      <c r="F137" s="79"/>
      <c r="G137" s="79"/>
      <c r="H137" s="79"/>
      <c r="I137" s="79"/>
      <c r="J137" s="79"/>
      <c r="K137" s="79"/>
      <c r="L137" s="79"/>
      <c r="M137" s="79"/>
      <c r="N137" s="79"/>
      <c r="O137" s="79"/>
    </row>
    <row r="138" spans="1:30" x14ac:dyDescent="0.35">
      <c r="A138" s="1"/>
      <c r="F138" s="79"/>
      <c r="G138" s="79"/>
      <c r="H138" s="79"/>
      <c r="I138" s="79"/>
      <c r="J138" s="79"/>
      <c r="K138" s="79"/>
      <c r="L138" s="79"/>
      <c r="M138" s="79"/>
      <c r="N138" s="79"/>
      <c r="O138" s="79"/>
    </row>
    <row r="139" spans="1:30" x14ac:dyDescent="0.35">
      <c r="A139" s="1"/>
      <c r="F139" s="79"/>
      <c r="G139" s="79"/>
      <c r="H139" s="79"/>
      <c r="I139" s="79"/>
      <c r="J139" s="79"/>
      <c r="K139" s="79"/>
      <c r="L139" s="79"/>
      <c r="M139" s="79"/>
      <c r="N139" s="79"/>
      <c r="O139" s="79"/>
    </row>
    <row r="140" spans="1:30" x14ac:dyDescent="0.35">
      <c r="A140" s="1"/>
      <c r="F140" s="79"/>
      <c r="G140" s="79"/>
      <c r="H140" s="79"/>
      <c r="I140" s="79"/>
      <c r="J140" s="79"/>
      <c r="K140" s="79"/>
      <c r="L140" s="79"/>
      <c r="M140" s="79"/>
      <c r="N140" s="79"/>
      <c r="O140" s="79"/>
    </row>
    <row r="141" spans="1:30" x14ac:dyDescent="0.35">
      <c r="A141" s="1"/>
      <c r="F141" s="79"/>
      <c r="G141" s="79"/>
      <c r="H141" s="79"/>
      <c r="I141" s="79"/>
      <c r="J141" s="79"/>
      <c r="K141" s="79"/>
      <c r="L141" s="79"/>
      <c r="M141" s="79"/>
      <c r="N141" s="79"/>
      <c r="O141" s="79"/>
    </row>
    <row r="142" spans="1:30" x14ac:dyDescent="0.35">
      <c r="A142" s="1"/>
      <c r="F142" s="79"/>
      <c r="G142" s="79"/>
      <c r="H142" s="79"/>
      <c r="I142" s="79"/>
      <c r="J142" s="79"/>
      <c r="K142" s="79"/>
      <c r="L142" s="79"/>
      <c r="M142" s="79"/>
      <c r="N142" s="79"/>
      <c r="O142" s="79"/>
    </row>
    <row r="143" spans="1:30" x14ac:dyDescent="0.35">
      <c r="A143" s="1"/>
      <c r="F143" s="79"/>
      <c r="G143" s="79"/>
      <c r="H143" s="79"/>
      <c r="I143" s="79"/>
      <c r="J143" s="79"/>
      <c r="K143" s="79"/>
      <c r="L143" s="79"/>
      <c r="M143" s="79"/>
      <c r="N143" s="79"/>
      <c r="O143" s="79"/>
    </row>
    <row r="144" spans="1:30" x14ac:dyDescent="0.35">
      <c r="A144" s="1"/>
    </row>
    <row r="145" spans="1:1" x14ac:dyDescent="0.35">
      <c r="A145" s="1"/>
    </row>
  </sheetData>
  <sheetProtection algorithmName="SHA-512" hashValue="hBQrekf1lHr+3neD8dk/C4jUhhB90Ba6P39wkA5dYFxj3NKyR/nSTaFa5JhEkKjzIgHWeUZSEbwqHYh4+hGTPA==" saltValue="V9nE2IWKi0t5NDos7Q1oDQ==" spinCount="100000" sheet="1" objects="1" scenarios="1" selectLockedCells="1" selectUnlockedCells="1"/>
  <mergeCells count="12">
    <mergeCell ref="C129:E129"/>
    <mergeCell ref="C73:E73"/>
    <mergeCell ref="C75:E75"/>
    <mergeCell ref="C76:E76"/>
    <mergeCell ref="C96:E96"/>
    <mergeCell ref="C97:E97"/>
    <mergeCell ref="C99:E99"/>
    <mergeCell ref="C100:E100"/>
    <mergeCell ref="C102:E102"/>
    <mergeCell ref="C103:E103"/>
    <mergeCell ref="C104:E104"/>
    <mergeCell ref="C128:E128"/>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5"/>
  <sheetViews>
    <sheetView zoomScaleNormal="100" zoomScalePageLayoutView="85" workbookViewId="0">
      <pane xSplit="5" topLeftCell="F1" activePane="topRight" state="frozen"/>
      <selection pane="topRight" activeCell="F135" sqref="F135:O143"/>
    </sheetView>
  </sheetViews>
  <sheetFormatPr defaultColWidth="25.6328125" defaultRowHeight="15.5" x14ac:dyDescent="0.35"/>
  <cols>
    <col min="1" max="1" width="4.08984375" style="17" customWidth="1"/>
    <col min="2" max="16384" width="25.6328125" style="1"/>
  </cols>
  <sheetData>
    <row r="1" spans="1:31" s="75" customFormat="1" x14ac:dyDescent="0.35">
      <c r="B1" s="251"/>
      <c r="C1" s="252" t="s">
        <v>8</v>
      </c>
      <c r="D1" s="253" t="s">
        <v>0</v>
      </c>
      <c r="E1" s="254" t="s">
        <v>149</v>
      </c>
      <c r="F1" s="79"/>
      <c r="H1" s="79"/>
      <c r="I1" s="79"/>
      <c r="J1" s="79"/>
      <c r="K1" s="79"/>
      <c r="L1" s="79"/>
      <c r="M1" s="79"/>
      <c r="N1" s="79"/>
      <c r="O1" s="79">
        <v>10</v>
      </c>
      <c r="P1" s="49"/>
      <c r="Y1" s="75" t="s">
        <v>66</v>
      </c>
      <c r="AD1" s="75" t="s">
        <v>65</v>
      </c>
    </row>
    <row r="2" spans="1:31" ht="16" thickBot="1" x14ac:dyDescent="0.4">
      <c r="A2" s="29"/>
      <c r="B2" s="255" t="s">
        <v>20</v>
      </c>
      <c r="C2" s="172">
        <v>59322</v>
      </c>
      <c r="D2" s="173">
        <v>6.7900000000000002E-2</v>
      </c>
      <c r="E2" s="256">
        <f>SubsidizedBalance*SubRate</f>
        <v>4027.9638</v>
      </c>
      <c r="F2" s="64"/>
      <c r="G2" s="79"/>
      <c r="H2" s="79"/>
      <c r="I2" s="79"/>
      <c r="J2" s="79"/>
      <c r="K2" s="79"/>
      <c r="L2" s="79"/>
      <c r="M2" s="79"/>
      <c r="N2" s="79"/>
      <c r="O2" s="79"/>
      <c r="P2" s="28"/>
      <c r="Q2" s="28"/>
      <c r="R2" s="28"/>
      <c r="S2" s="28"/>
      <c r="T2" s="28"/>
      <c r="U2" s="28"/>
      <c r="V2" s="28"/>
    </row>
    <row r="3" spans="1:31" x14ac:dyDescent="0.35">
      <c r="A3" s="1"/>
      <c r="B3" s="255" t="s">
        <v>19</v>
      </c>
      <c r="C3" s="172">
        <v>131598</v>
      </c>
      <c r="D3" s="173">
        <v>0.06</v>
      </c>
      <c r="E3" s="256">
        <f>UnsubsidizedBalance*UnsubRate</f>
        <v>7895.88</v>
      </c>
      <c r="F3" s="79"/>
      <c r="G3" s="79"/>
      <c r="H3" s="79"/>
      <c r="I3" s="79"/>
      <c r="J3" s="79"/>
      <c r="K3" s="161"/>
      <c r="L3" s="161"/>
      <c r="M3" s="161"/>
      <c r="N3" s="161"/>
      <c r="O3" s="114"/>
      <c r="P3" s="115"/>
      <c r="Q3" s="115"/>
      <c r="R3" s="116"/>
      <c r="S3" s="28"/>
      <c r="T3" s="28"/>
      <c r="U3" s="28"/>
      <c r="V3" s="28"/>
    </row>
    <row r="4" spans="1:31" x14ac:dyDescent="0.35">
      <c r="A4" s="1"/>
      <c r="B4" s="255" t="s">
        <v>67</v>
      </c>
      <c r="C4" s="172">
        <v>334218</v>
      </c>
      <c r="D4" s="173">
        <v>8.4199999999999997E-2</v>
      </c>
      <c r="E4" s="256">
        <f>C4*D4</f>
        <v>28141.155599999998</v>
      </c>
      <c r="F4" s="79"/>
      <c r="G4" s="79"/>
      <c r="H4" s="79"/>
      <c r="I4" s="120"/>
      <c r="J4" s="120"/>
      <c r="K4" s="166"/>
      <c r="L4" s="166"/>
      <c r="M4" s="166"/>
      <c r="N4" s="166"/>
      <c r="O4" s="120"/>
      <c r="P4" s="120"/>
      <c r="Q4" s="120"/>
      <c r="R4" s="121"/>
      <c r="S4" s="28"/>
      <c r="T4" s="28"/>
      <c r="U4" s="28"/>
      <c r="V4" s="28"/>
    </row>
    <row r="5" spans="1:31" x14ac:dyDescent="0.35">
      <c r="A5" s="1"/>
      <c r="B5" s="255"/>
      <c r="C5" s="174"/>
      <c r="D5" s="175"/>
      <c r="E5" s="256"/>
      <c r="F5" s="79"/>
      <c r="G5" s="79"/>
      <c r="H5" s="79"/>
      <c r="I5" s="120"/>
      <c r="J5" s="120"/>
      <c r="K5" s="166"/>
      <c r="L5" s="166"/>
      <c r="M5" s="166"/>
      <c r="N5" s="166"/>
      <c r="O5" s="120"/>
      <c r="P5" s="120"/>
      <c r="Q5" s="120"/>
      <c r="R5" s="121"/>
      <c r="S5" s="28"/>
      <c r="T5" s="28"/>
      <c r="U5" s="28"/>
      <c r="V5" s="28"/>
    </row>
    <row r="6" spans="1:31" ht="16" thickBot="1" x14ac:dyDescent="0.4">
      <c r="A6" s="1"/>
      <c r="B6" s="257" t="s">
        <v>3</v>
      </c>
      <c r="C6" s="241">
        <f>SUM(C2,C3,C4)</f>
        <v>525138</v>
      </c>
      <c r="D6" s="258">
        <f>E6/Total_Balance</f>
        <v>7.6294230088091136E-2</v>
      </c>
      <c r="E6" s="259">
        <f>SUM(E2:E4)</f>
        <v>40064.999400000001</v>
      </c>
      <c r="F6" s="79"/>
      <c r="G6" s="161"/>
      <c r="H6" s="161"/>
      <c r="I6" s="120"/>
      <c r="J6" s="120"/>
      <c r="K6" s="166"/>
      <c r="L6" s="166"/>
      <c r="M6" s="166"/>
      <c r="N6" s="166"/>
      <c r="O6" s="120"/>
      <c r="P6" s="120"/>
      <c r="Q6" s="120"/>
      <c r="R6" s="121"/>
      <c r="S6" s="28"/>
      <c r="T6" s="28"/>
      <c r="U6" s="28"/>
      <c r="V6" s="28"/>
    </row>
    <row r="7" spans="1:31" hidden="1" x14ac:dyDescent="0.35">
      <c r="A7" s="1"/>
      <c r="B7" s="50" t="s">
        <v>1</v>
      </c>
      <c r="C7" s="31">
        <f>WeightedAverageRate</f>
        <v>7.6294230088091136E-2</v>
      </c>
      <c r="D7" s="51"/>
      <c r="F7" s="32"/>
      <c r="G7" s="163"/>
      <c r="H7" s="163"/>
      <c r="I7" s="120"/>
      <c r="J7" s="120"/>
      <c r="K7" s="166"/>
      <c r="L7" s="166"/>
      <c r="M7" s="166"/>
      <c r="N7" s="166"/>
      <c r="O7" s="120"/>
      <c r="P7" s="120"/>
      <c r="Q7" s="120"/>
      <c r="R7" s="121"/>
      <c r="S7" s="28"/>
      <c r="T7" s="28"/>
      <c r="U7" s="28"/>
      <c r="V7" s="28"/>
    </row>
    <row r="8" spans="1:31" hidden="1" x14ac:dyDescent="0.35">
      <c r="A8" s="1"/>
      <c r="B8" s="50" t="s">
        <v>2</v>
      </c>
      <c r="C8" s="33">
        <v>12</v>
      </c>
      <c r="D8" s="51"/>
      <c r="F8" s="32"/>
      <c r="G8" s="163"/>
      <c r="H8" s="163"/>
      <c r="I8" s="120"/>
      <c r="J8" s="120"/>
      <c r="K8" s="166"/>
      <c r="L8" s="166"/>
      <c r="M8" s="166"/>
      <c r="N8" s="166"/>
      <c r="O8" s="120"/>
      <c r="P8" s="120"/>
      <c r="Q8" s="120"/>
      <c r="R8" s="121"/>
      <c r="S8" s="28"/>
      <c r="T8" s="28"/>
      <c r="U8" s="28"/>
      <c r="V8" s="28"/>
    </row>
    <row r="9" spans="1:31" hidden="1" x14ac:dyDescent="0.35">
      <c r="A9" s="1"/>
      <c r="B9" s="50"/>
      <c r="C9" s="33"/>
      <c r="D9" s="51"/>
      <c r="F9" s="32"/>
      <c r="G9" s="32"/>
      <c r="H9" s="32"/>
      <c r="I9" s="120"/>
      <c r="J9" s="120"/>
      <c r="K9" s="166"/>
      <c r="L9" s="166"/>
      <c r="M9" s="166"/>
      <c r="N9" s="166"/>
      <c r="O9" s="120"/>
      <c r="P9" s="120"/>
      <c r="Q9" s="120"/>
      <c r="R9" s="121"/>
      <c r="S9" s="28"/>
      <c r="T9" s="28"/>
      <c r="U9" s="28"/>
      <c r="V9" s="28"/>
    </row>
    <row r="10" spans="1:31" ht="31.5" hidden="1" thickBot="1" x14ac:dyDescent="0.4">
      <c r="A10" s="1"/>
      <c r="B10" s="68" t="s">
        <v>68</v>
      </c>
      <c r="C10" s="177" t="s">
        <v>71</v>
      </c>
      <c r="D10" s="52" t="str">
        <f>IF(C10="IBR15","IBR15",IF(C10="PAYE","PAYE",IF(C10="IBR10","IBR10",IF(C10="REPAYE","REPAYE",IF(C10="","Which?")))))</f>
        <v>IBR15</v>
      </c>
      <c r="F10" s="32"/>
      <c r="G10" s="32"/>
      <c r="H10" s="32"/>
      <c r="I10" s="120"/>
      <c r="J10" s="120"/>
      <c r="K10" s="166"/>
      <c r="L10" s="166"/>
      <c r="M10" s="166"/>
      <c r="N10" s="166"/>
      <c r="O10" s="122"/>
      <c r="P10" s="122"/>
      <c r="Q10" s="122"/>
      <c r="R10" s="123"/>
      <c r="S10" s="28"/>
      <c r="T10" s="28"/>
      <c r="U10" s="28"/>
      <c r="V10" s="28"/>
    </row>
    <row r="11" spans="1:31" ht="46.5" hidden="1" x14ac:dyDescent="0.35">
      <c r="A11" s="1"/>
      <c r="B11" s="67" t="s">
        <v>70</v>
      </c>
      <c r="C11" s="65">
        <f>IF(C10="IBR15",0.15,IF(C10="PAYE",0.1,IF(C10="IBR10",0.1,IF(C10="REPAYE",0.1,IF(C10="","?")))))</f>
        <v>0.15</v>
      </c>
      <c r="D11" s="53"/>
      <c r="F11" s="32"/>
      <c r="G11" s="32"/>
      <c r="H11" s="32"/>
      <c r="I11" s="32"/>
      <c r="J11" s="32"/>
      <c r="K11" s="32"/>
      <c r="L11" s="32"/>
      <c r="M11" s="32"/>
      <c r="N11" s="32"/>
      <c r="O11" s="32"/>
      <c r="P11" s="28"/>
      <c r="Q11" s="28"/>
      <c r="R11" s="28"/>
      <c r="S11" s="28"/>
      <c r="T11" s="28"/>
      <c r="U11" s="28"/>
      <c r="V11" s="28"/>
      <c r="AE11" s="9"/>
    </row>
    <row r="12" spans="1:31" hidden="1" x14ac:dyDescent="0.35">
      <c r="A12" s="34"/>
      <c r="B12" s="2" t="s">
        <v>69</v>
      </c>
      <c r="C12" s="35" t="s">
        <v>47</v>
      </c>
      <c r="F12" s="32"/>
      <c r="G12" s="32"/>
      <c r="H12" s="32"/>
      <c r="I12" s="32"/>
      <c r="J12" s="32"/>
      <c r="K12" s="32"/>
      <c r="L12" s="32"/>
      <c r="M12" s="32"/>
      <c r="N12" s="32"/>
      <c r="O12" s="32"/>
      <c r="P12" s="28"/>
      <c r="Q12" s="28"/>
      <c r="R12" s="28"/>
      <c r="S12" s="28"/>
      <c r="T12" s="28"/>
      <c r="U12" s="28"/>
      <c r="V12" s="28"/>
      <c r="AE12" s="9"/>
    </row>
    <row r="13" spans="1:31" hidden="1" x14ac:dyDescent="0.35">
      <c r="A13" s="29"/>
      <c r="B13" s="2" t="s">
        <v>23</v>
      </c>
      <c r="C13" s="36"/>
      <c r="D13" s="37"/>
      <c r="F13" s="32"/>
      <c r="G13" s="32"/>
      <c r="H13" s="32"/>
      <c r="I13" s="32"/>
      <c r="J13" s="32"/>
      <c r="K13" s="32"/>
      <c r="L13" s="32"/>
      <c r="M13" s="32"/>
      <c r="N13" s="32"/>
      <c r="O13" s="32"/>
      <c r="P13" s="28"/>
      <c r="Q13" s="28"/>
      <c r="R13" s="28"/>
      <c r="S13" s="28"/>
      <c r="T13" s="28"/>
      <c r="U13" s="28"/>
      <c r="V13" s="28"/>
      <c r="AE13" s="9"/>
    </row>
    <row r="14" spans="1:31" hidden="1" x14ac:dyDescent="0.35">
      <c r="A14" s="1"/>
      <c r="B14" s="2" t="s">
        <v>24</v>
      </c>
      <c r="C14" s="36" t="s">
        <v>48</v>
      </c>
      <c r="F14" s="32"/>
      <c r="G14" s="32"/>
      <c r="H14" s="32"/>
      <c r="I14" s="32"/>
      <c r="J14" s="32"/>
      <c r="K14" s="32"/>
      <c r="L14" s="32"/>
      <c r="M14" s="32"/>
      <c r="N14" s="32"/>
      <c r="O14" s="32"/>
      <c r="P14" s="28"/>
      <c r="Q14" s="28"/>
      <c r="R14" s="28"/>
      <c r="S14" s="28"/>
      <c r="T14" s="28"/>
      <c r="U14" s="28"/>
      <c r="V14" s="28"/>
      <c r="AE14" s="9"/>
    </row>
    <row r="15" spans="1:31" hidden="1" x14ac:dyDescent="0.35">
      <c r="A15" s="1"/>
      <c r="B15" s="2" t="s">
        <v>25</v>
      </c>
      <c r="C15" s="36"/>
      <c r="F15" s="32"/>
      <c r="G15" s="32"/>
      <c r="H15" s="32"/>
      <c r="I15" s="32"/>
      <c r="J15" s="32"/>
      <c r="K15" s="32"/>
      <c r="L15" s="32"/>
      <c r="M15" s="32"/>
      <c r="N15" s="32"/>
      <c r="O15" s="32"/>
      <c r="P15" s="28"/>
      <c r="Q15" s="28"/>
      <c r="R15" s="28"/>
      <c r="S15" s="28"/>
      <c r="T15" s="28"/>
      <c r="U15" s="28"/>
      <c r="V15" s="28"/>
      <c r="AE15" s="9"/>
    </row>
    <row r="16" spans="1:31" hidden="1" x14ac:dyDescent="0.35">
      <c r="A16" s="1"/>
      <c r="B16" s="2" t="s">
        <v>26</v>
      </c>
      <c r="C16" s="36"/>
      <c r="F16" s="32"/>
      <c r="G16" s="32"/>
      <c r="H16" s="32"/>
      <c r="I16" s="32"/>
      <c r="J16" s="32"/>
      <c r="K16" s="32"/>
      <c r="L16" s="32"/>
      <c r="M16" s="32"/>
      <c r="N16" s="32"/>
      <c r="O16" s="32"/>
      <c r="P16" s="28"/>
      <c r="Q16" s="28"/>
      <c r="R16" s="28"/>
      <c r="S16" s="28"/>
      <c r="T16" s="28"/>
      <c r="U16" s="28"/>
      <c r="V16" s="28"/>
      <c r="AE16" s="9"/>
    </row>
    <row r="17" spans="1:31" hidden="1" x14ac:dyDescent="0.35">
      <c r="A17" s="1"/>
      <c r="B17" s="2" t="s">
        <v>27</v>
      </c>
      <c r="C17" s="36"/>
      <c r="F17" s="79"/>
      <c r="G17" s="79"/>
      <c r="H17" s="79"/>
      <c r="I17" s="79"/>
      <c r="J17" s="79"/>
      <c r="K17" s="79"/>
      <c r="L17" s="79"/>
      <c r="M17" s="79"/>
      <c r="N17" s="79"/>
      <c r="O17" s="79"/>
      <c r="P17" s="28"/>
      <c r="Q17" s="28"/>
      <c r="R17" s="28"/>
      <c r="S17" s="28"/>
      <c r="T17" s="28"/>
      <c r="U17" s="28"/>
      <c r="V17" s="28"/>
      <c r="AE17" s="9"/>
    </row>
    <row r="18" spans="1:31" hidden="1" x14ac:dyDescent="0.35">
      <c r="A18" s="1"/>
      <c r="B18" s="2"/>
      <c r="C18" s="3"/>
      <c r="F18" s="79"/>
      <c r="G18" s="79"/>
      <c r="H18" s="79"/>
      <c r="I18" s="79"/>
      <c r="J18" s="79"/>
      <c r="K18" s="79"/>
      <c r="L18" s="79"/>
      <c r="M18" s="79"/>
      <c r="N18" s="79"/>
      <c r="O18" s="79"/>
      <c r="P18" s="28"/>
      <c r="AE18" s="9"/>
    </row>
    <row r="19" spans="1:31" hidden="1" x14ac:dyDescent="0.35">
      <c r="A19" s="1"/>
      <c r="B19" s="2"/>
      <c r="C19" s="4"/>
      <c r="D19" s="30"/>
      <c r="F19" s="79"/>
      <c r="G19" s="79"/>
      <c r="H19" s="79"/>
      <c r="I19" s="79"/>
      <c r="J19" s="79"/>
      <c r="K19" s="79"/>
      <c r="L19" s="79"/>
      <c r="M19" s="79"/>
      <c r="N19" s="79"/>
      <c r="O19" s="79"/>
      <c r="P19" s="28"/>
      <c r="AE19" s="9"/>
    </row>
    <row r="20" spans="1:31" hidden="1" x14ac:dyDescent="0.35">
      <c r="A20" s="1"/>
      <c r="B20" s="2"/>
      <c r="C20" s="4"/>
      <c r="D20" s="30"/>
      <c r="F20" s="79"/>
      <c r="G20" s="79"/>
      <c r="H20" s="79"/>
      <c r="I20" s="79"/>
      <c r="J20" s="79"/>
      <c r="K20" s="79"/>
      <c r="L20" s="79"/>
      <c r="M20" s="79"/>
      <c r="N20" s="79"/>
      <c r="O20" s="79"/>
      <c r="P20" s="28"/>
      <c r="AE20" s="9"/>
    </row>
    <row r="21" spans="1:31" hidden="1" x14ac:dyDescent="0.35">
      <c r="A21" s="1"/>
      <c r="B21" s="2"/>
      <c r="C21" s="5"/>
      <c r="D21" s="30"/>
      <c r="F21" s="79"/>
      <c r="G21" s="79"/>
      <c r="H21" s="79"/>
      <c r="I21" s="79"/>
      <c r="J21" s="79"/>
      <c r="K21" s="79"/>
      <c r="L21" s="79"/>
      <c r="M21" s="79"/>
      <c r="N21" s="79"/>
      <c r="O21" s="79"/>
      <c r="P21" s="28"/>
      <c r="AE21" s="9"/>
    </row>
    <row r="22" spans="1:31" hidden="1" x14ac:dyDescent="0.35">
      <c r="A22" s="1"/>
      <c r="B22" s="2" t="s">
        <v>19</v>
      </c>
      <c r="C22" s="6">
        <f>SUM(C3,C4)</f>
        <v>465816</v>
      </c>
      <c r="D22" s="38">
        <f>((C3*D3)+(C4*D4))/C22</f>
        <v>7.7363241279818626E-2</v>
      </c>
      <c r="F22" s="79"/>
      <c r="G22" s="79"/>
      <c r="H22" s="79"/>
      <c r="I22" s="79"/>
      <c r="J22" s="79"/>
      <c r="K22" s="79"/>
      <c r="L22" s="79"/>
      <c r="M22" s="79"/>
      <c r="N22" s="79"/>
      <c r="O22" s="79"/>
      <c r="P22" s="28"/>
      <c r="AE22" s="9"/>
    </row>
    <row r="23" spans="1:31" hidden="1" x14ac:dyDescent="0.35">
      <c r="A23" s="1"/>
      <c r="B23" s="2"/>
      <c r="C23" s="6"/>
      <c r="F23" s="79"/>
      <c r="G23" s="79"/>
      <c r="H23" s="79"/>
      <c r="I23" s="79"/>
      <c r="J23" s="79"/>
      <c r="K23" s="79"/>
      <c r="L23" s="79"/>
      <c r="M23" s="79"/>
      <c r="N23" s="79"/>
      <c r="O23" s="79"/>
      <c r="P23" s="28"/>
      <c r="AE23" s="9"/>
    </row>
    <row r="24" spans="1:31" hidden="1" x14ac:dyDescent="0.35">
      <c r="A24" s="1"/>
      <c r="B24" s="2"/>
      <c r="C24" s="6"/>
      <c r="D24" s="38"/>
      <c r="F24" s="79"/>
      <c r="G24" s="79"/>
      <c r="H24" s="79"/>
      <c r="I24" s="79"/>
      <c r="J24" s="79"/>
      <c r="K24" s="79"/>
      <c r="L24" s="79"/>
      <c r="M24" s="79"/>
      <c r="N24" s="79"/>
      <c r="O24" s="79"/>
      <c r="P24" s="28"/>
      <c r="AE24" s="9"/>
    </row>
    <row r="25" spans="1:31" hidden="1" x14ac:dyDescent="0.35">
      <c r="A25" s="1"/>
      <c r="B25" s="2"/>
      <c r="C25" s="6"/>
      <c r="D25" s="38"/>
      <c r="F25" s="79"/>
      <c r="G25" s="79"/>
      <c r="H25" s="79"/>
      <c r="I25" s="79"/>
      <c r="J25" s="79"/>
      <c r="K25" s="79"/>
      <c r="L25" s="79"/>
      <c r="M25" s="79"/>
      <c r="N25" s="79"/>
      <c r="O25" s="79"/>
      <c r="P25" s="28"/>
      <c r="AE25" s="9"/>
    </row>
    <row r="26" spans="1:31" hidden="1" x14ac:dyDescent="0.35">
      <c r="A26" s="1"/>
      <c r="B26" s="2" t="s">
        <v>20</v>
      </c>
      <c r="C26" s="6">
        <f>C2</f>
        <v>59322</v>
      </c>
      <c r="D26" s="66">
        <f>D2</f>
        <v>6.7900000000000002E-2</v>
      </c>
      <c r="F26" s="79"/>
      <c r="G26" s="79"/>
      <c r="H26" s="79"/>
      <c r="I26" s="79"/>
      <c r="J26" s="79"/>
      <c r="K26" s="79"/>
      <c r="L26" s="79"/>
      <c r="M26" s="79"/>
      <c r="N26" s="79"/>
      <c r="O26" s="79"/>
      <c r="P26" s="28"/>
      <c r="AE26" s="9"/>
    </row>
    <row r="27" spans="1:31" hidden="1" x14ac:dyDescent="0.35">
      <c r="A27" s="1"/>
      <c r="B27" s="2"/>
      <c r="C27" s="3"/>
      <c r="D27" s="38"/>
      <c r="F27" s="79"/>
      <c r="G27" s="79"/>
      <c r="H27" s="79"/>
      <c r="I27" s="79"/>
      <c r="J27" s="79"/>
      <c r="K27" s="79"/>
      <c r="L27" s="79"/>
      <c r="M27" s="79"/>
      <c r="N27" s="79"/>
      <c r="O27" s="79"/>
      <c r="P27" s="28"/>
      <c r="AE27" s="9"/>
    </row>
    <row r="28" spans="1:31" hidden="1" x14ac:dyDescent="0.35">
      <c r="A28" s="1"/>
      <c r="B28" s="2" t="s">
        <v>16</v>
      </c>
      <c r="C28" s="7">
        <f>C22/(C22+C26)</f>
        <v>0.8870354078356546</v>
      </c>
      <c r="D28" s="38"/>
      <c r="F28" s="79"/>
      <c r="G28" s="79"/>
      <c r="H28" s="79"/>
      <c r="I28" s="79"/>
      <c r="J28" s="79"/>
      <c r="K28" s="79"/>
      <c r="L28" s="79"/>
      <c r="M28" s="79"/>
      <c r="N28" s="79"/>
      <c r="O28" s="79"/>
      <c r="P28" s="28"/>
      <c r="AE28" s="9"/>
    </row>
    <row r="29" spans="1:31" hidden="1" x14ac:dyDescent="0.35">
      <c r="A29" s="1"/>
      <c r="B29" s="2"/>
      <c r="C29" s="55"/>
      <c r="D29" s="38"/>
      <c r="F29" s="79"/>
      <c r="G29" s="79"/>
      <c r="H29" s="79"/>
      <c r="I29" s="79"/>
      <c r="J29" s="79"/>
      <c r="K29" s="79"/>
      <c r="L29" s="79"/>
      <c r="M29" s="79"/>
      <c r="N29" s="79"/>
      <c r="O29" s="79"/>
      <c r="P29" s="28"/>
      <c r="AE29" s="9"/>
    </row>
    <row r="30" spans="1:31" ht="16" thickBot="1" x14ac:dyDescent="0.4">
      <c r="A30" s="1"/>
      <c r="B30" s="2"/>
      <c r="C30" s="8"/>
      <c r="D30" s="8"/>
      <c r="F30" s="79"/>
      <c r="G30" s="79"/>
      <c r="H30" s="79"/>
      <c r="I30" s="79"/>
      <c r="J30" s="79"/>
      <c r="K30" s="79"/>
      <c r="L30" s="79"/>
      <c r="M30" s="79"/>
      <c r="N30" s="79"/>
      <c r="O30" s="79"/>
      <c r="P30" s="28"/>
      <c r="AE30" s="9"/>
    </row>
    <row r="31" spans="1:31" s="58" customFormat="1" x14ac:dyDescent="0.35">
      <c r="B31" s="124" t="s">
        <v>72</v>
      </c>
      <c r="C31" s="110" t="s">
        <v>9</v>
      </c>
      <c r="D31" s="110" t="s">
        <v>18</v>
      </c>
      <c r="E31" s="110" t="s">
        <v>40</v>
      </c>
      <c r="F31" s="247" t="s">
        <v>150</v>
      </c>
      <c r="G31" s="59"/>
      <c r="H31" s="59"/>
      <c r="I31" s="59"/>
      <c r="J31" s="59"/>
      <c r="K31" s="59"/>
      <c r="L31" s="59"/>
      <c r="M31" s="59"/>
      <c r="N31" s="59"/>
      <c r="O31" s="59"/>
      <c r="P31" s="59"/>
      <c r="AE31" s="60"/>
    </row>
    <row r="32" spans="1:31" x14ac:dyDescent="0.35">
      <c r="A32" s="29"/>
      <c r="B32" s="248" t="str">
        <f>IF(C10="IBR15","IBR15",IF(C10="PAYE","PAYE",IF(C10="IBR10","IBR10",IF(C10="REPAYE","REPAYE"))))</f>
        <v>IBR15</v>
      </c>
      <c r="C32" s="127">
        <f>IF(C6=0,"",IF(F96="Ineligible","Ineligible",SUM(F82:AD82)))</f>
        <v>1051903.7188977567</v>
      </c>
      <c r="D32" s="78">
        <f>IF(C6=0,"",IF(F96="Ineligible","Ineligible",IF(C11=0.1,Y85,IF(C11=0.15,AD85,"ERROR"))))</f>
        <v>0</v>
      </c>
      <c r="E32" s="235">
        <f>AA71</f>
        <v>0</v>
      </c>
      <c r="F32" s="243">
        <f>C32</f>
        <v>1051903.7188977567</v>
      </c>
      <c r="G32" s="79"/>
      <c r="H32" s="79"/>
      <c r="I32" s="79"/>
      <c r="J32" s="187"/>
      <c r="K32" s="79"/>
      <c r="L32" s="79"/>
      <c r="M32" s="79"/>
      <c r="N32" s="79"/>
      <c r="O32" s="79"/>
      <c r="P32" s="28"/>
      <c r="Z32" s="10">
        <f>C32+E32</f>
        <v>1051903.7188977567</v>
      </c>
      <c r="AE32" s="9"/>
    </row>
    <row r="33" spans="1:35" hidden="1" x14ac:dyDescent="0.35">
      <c r="A33" s="1"/>
      <c r="B33" s="248" t="s">
        <v>90</v>
      </c>
      <c r="C33" s="127">
        <f>IF(C6=0,"",IF(F99="Ineligible","Ineligible",SUM(F87:Y87)))</f>
        <v>1097858.6262202568</v>
      </c>
      <c r="D33" s="78">
        <f>IF(C6=0,"",IF(F99="Ineligible","Ineligible",Y93))</f>
        <v>117174.23990328507</v>
      </c>
      <c r="E33" s="235">
        <f>IF(C6=0,"",IF(F99="Ineligible","Ineligible",Z71))</f>
        <v>46400.999001700889</v>
      </c>
      <c r="F33" s="244"/>
      <c r="G33" s="79"/>
      <c r="H33" s="79"/>
      <c r="I33" s="79" t="s">
        <v>87</v>
      </c>
      <c r="J33" s="188"/>
      <c r="K33" s="79"/>
      <c r="L33" s="79"/>
      <c r="M33" s="79"/>
      <c r="N33" s="79"/>
      <c r="O33" s="79"/>
      <c r="P33" s="39"/>
      <c r="Q33" s="40"/>
      <c r="R33" s="40"/>
      <c r="S33" s="40"/>
      <c r="T33" s="40"/>
      <c r="U33" s="40"/>
      <c r="V33" s="40"/>
      <c r="W33" s="40"/>
      <c r="X33" s="40"/>
      <c r="Y33" s="40"/>
      <c r="Z33" s="81">
        <f>C33+E33</f>
        <v>1144259.6252219577</v>
      </c>
      <c r="AA33" s="40"/>
      <c r="AB33" s="40"/>
      <c r="AC33" s="40"/>
      <c r="AD33" s="40"/>
      <c r="AE33" s="41"/>
      <c r="AF33" s="40"/>
      <c r="AG33" s="40"/>
      <c r="AH33" s="40"/>
      <c r="AI33" s="40"/>
    </row>
    <row r="34" spans="1:35" hidden="1" x14ac:dyDescent="0.35">
      <c r="A34" s="1"/>
      <c r="B34" s="248" t="s">
        <v>41</v>
      </c>
      <c r="C34" s="127">
        <f>NPV(0.025,F87:Y87)</f>
        <v>808028.58113687392</v>
      </c>
      <c r="D34" s="78">
        <f>IF(C6=0,"",IF(F99="Ineligible","Ineligible",NPV(0.025,0,0,0,0,0,0,0,0,0,0,0,0,0,0,0,0,0,0,0,Y93)))</f>
        <v>71508.033864544617</v>
      </c>
      <c r="E34" s="235">
        <f>IF(C6=0,"",IF(F99="Ineligible","Ineligible",NPV(0.025,F71:Z71)))</f>
        <v>27626.518449131388</v>
      </c>
      <c r="F34" s="244"/>
      <c r="G34" s="79"/>
      <c r="H34" s="79"/>
      <c r="I34" s="79"/>
      <c r="J34" s="188"/>
      <c r="K34" s="79"/>
      <c r="L34" s="79"/>
      <c r="M34" s="79"/>
      <c r="N34" s="79"/>
      <c r="O34" s="79"/>
      <c r="P34" s="39"/>
      <c r="Q34" s="40"/>
      <c r="R34" s="40"/>
      <c r="S34" s="40"/>
      <c r="T34" s="40"/>
      <c r="U34" s="40"/>
      <c r="V34" s="40"/>
      <c r="W34" s="40"/>
      <c r="X34" s="40"/>
      <c r="Y34" s="40"/>
      <c r="Z34" s="40"/>
      <c r="AA34" s="40"/>
      <c r="AB34" s="40"/>
      <c r="AC34" s="40"/>
      <c r="AD34" s="40"/>
      <c r="AE34" s="41"/>
      <c r="AF34" s="40"/>
      <c r="AG34" s="40"/>
      <c r="AH34" s="40"/>
      <c r="AI34" s="40"/>
    </row>
    <row r="35" spans="1:35" hidden="1" x14ac:dyDescent="0.35">
      <c r="A35" s="1"/>
      <c r="B35" s="248" t="s">
        <v>74</v>
      </c>
      <c r="C35" s="127">
        <f>IF(C6=0,"",IF(F99="Ineligible","Ineligible",SUM(F87:O87)))</f>
        <v>375082.47065360035</v>
      </c>
      <c r="D35" s="129">
        <f>PAYE_PSLF</f>
        <v>544496.0457020707</v>
      </c>
      <c r="E35" s="235" t="s">
        <v>50</v>
      </c>
      <c r="F35" s="244"/>
      <c r="G35" s="79"/>
      <c r="H35" s="79"/>
      <c r="I35" s="79"/>
      <c r="J35" s="188"/>
      <c r="K35" s="79"/>
      <c r="L35" s="79"/>
      <c r="M35" s="79"/>
      <c r="N35" s="79"/>
      <c r="O35" s="79"/>
      <c r="P35" s="39"/>
      <c r="Q35" s="40"/>
      <c r="R35" s="40"/>
      <c r="S35" s="40"/>
      <c r="T35" s="40"/>
      <c r="U35" s="40"/>
      <c r="V35" s="40"/>
      <c r="W35" s="40"/>
      <c r="X35" s="40"/>
      <c r="Y35" s="40"/>
      <c r="Z35" s="40"/>
      <c r="AA35" s="40"/>
      <c r="AB35" s="40"/>
      <c r="AC35" s="40"/>
      <c r="AD35" s="40"/>
      <c r="AE35" s="41"/>
      <c r="AF35" s="40"/>
      <c r="AG35" s="40"/>
      <c r="AH35" s="40"/>
      <c r="AI35" s="40"/>
    </row>
    <row r="36" spans="1:35" hidden="1" x14ac:dyDescent="0.35">
      <c r="A36" s="1"/>
      <c r="B36" s="248" t="s">
        <v>73</v>
      </c>
      <c r="C36" s="127">
        <f>IF(C7=0,"",IF(F100="Ineligible","Ineligible",SUM(F82:O82)))</f>
        <v>499772.18185052782</v>
      </c>
      <c r="D36" s="78">
        <f>IF(C7=0,"",IF(F100="Ineligible","Ineligible",O85))</f>
        <v>411940.93817027489</v>
      </c>
      <c r="E36" s="235" t="s">
        <v>50</v>
      </c>
      <c r="F36" s="244"/>
      <c r="G36" s="79"/>
      <c r="H36" s="79"/>
      <c r="I36" s="79"/>
      <c r="J36" s="187"/>
      <c r="K36" s="79"/>
      <c r="L36" s="79"/>
      <c r="M36" s="79"/>
      <c r="N36" s="79"/>
      <c r="O36" s="79"/>
      <c r="P36" s="39"/>
      <c r="Q36" s="40"/>
      <c r="R36" s="40"/>
      <c r="S36" s="40"/>
      <c r="T36" s="40"/>
      <c r="U36" s="40"/>
      <c r="V36" s="40"/>
      <c r="W36" s="40"/>
      <c r="X36" s="40"/>
      <c r="Y36" s="40"/>
      <c r="Z36" s="40"/>
      <c r="AA36" s="40"/>
      <c r="AB36" s="40"/>
      <c r="AC36" s="40"/>
      <c r="AD36" s="40"/>
      <c r="AE36" s="41"/>
      <c r="AF36" s="40"/>
      <c r="AG36" s="40"/>
      <c r="AH36" s="40"/>
      <c r="AI36" s="40"/>
    </row>
    <row r="37" spans="1:35" x14ac:dyDescent="0.35">
      <c r="A37" s="1"/>
      <c r="B37" s="249" t="s">
        <v>34</v>
      </c>
      <c r="C37" s="83">
        <f>IF(C6=0,"",SUM(F109:O109)*12)</f>
        <v>752281.2523748331</v>
      </c>
      <c r="D37" s="191" t="s">
        <v>87</v>
      </c>
      <c r="E37" s="191" t="s">
        <v>87</v>
      </c>
      <c r="F37" s="245">
        <f>C37</f>
        <v>752281.2523748331</v>
      </c>
      <c r="G37" s="56"/>
      <c r="H37" s="42"/>
      <c r="I37" s="42"/>
      <c r="J37" s="189"/>
      <c r="K37" s="42"/>
      <c r="L37" s="42"/>
      <c r="M37" s="42"/>
      <c r="N37" s="42"/>
      <c r="O37" s="42"/>
      <c r="P37" s="11"/>
      <c r="Q37" s="11"/>
      <c r="R37" s="11"/>
      <c r="S37" s="11"/>
      <c r="T37" s="11"/>
      <c r="U37" s="11"/>
      <c r="V37" s="11"/>
      <c r="W37" s="11"/>
      <c r="X37" s="11"/>
      <c r="Y37" s="11"/>
      <c r="Z37" s="11"/>
      <c r="AA37" s="11"/>
      <c r="AB37" s="11"/>
      <c r="AC37" s="11"/>
      <c r="AD37" s="11"/>
      <c r="AE37" s="11"/>
      <c r="AF37" s="11"/>
      <c r="AG37" s="11"/>
      <c r="AH37" s="11"/>
      <c r="AI37" s="11"/>
    </row>
    <row r="38" spans="1:35" x14ac:dyDescent="0.35">
      <c r="A38" s="1"/>
      <c r="B38" s="248" t="s">
        <v>21</v>
      </c>
      <c r="C38" s="83">
        <f>IF(C6=0,"",SUM(F105:AI105)*12)</f>
        <v>1115547.5616862779</v>
      </c>
      <c r="D38" s="191" t="s">
        <v>87</v>
      </c>
      <c r="E38" s="191" t="s">
        <v>87</v>
      </c>
      <c r="F38" s="245">
        <f>C38</f>
        <v>1115547.5616862779</v>
      </c>
      <c r="G38" s="56"/>
      <c r="H38" s="79"/>
      <c r="I38" s="79"/>
      <c r="J38" s="188"/>
      <c r="K38" s="79"/>
      <c r="L38" s="79"/>
      <c r="M38" s="79"/>
      <c r="N38" s="79"/>
      <c r="O38" s="79"/>
      <c r="P38" s="11"/>
      <c r="Q38" s="11"/>
      <c r="R38" s="11"/>
      <c r="S38" s="11"/>
      <c r="T38" s="11"/>
      <c r="U38" s="11"/>
      <c r="V38" s="11"/>
      <c r="W38" s="11"/>
      <c r="X38" s="11"/>
      <c r="Y38" s="11"/>
      <c r="Z38" s="11"/>
      <c r="AA38" s="11"/>
      <c r="AB38" s="11"/>
      <c r="AC38" s="11"/>
      <c r="AD38" s="11"/>
      <c r="AE38" s="11"/>
      <c r="AF38" s="11"/>
      <c r="AG38" s="11"/>
      <c r="AH38" s="11"/>
      <c r="AI38" s="11"/>
    </row>
    <row r="39" spans="1:35" hidden="1" x14ac:dyDescent="0.35">
      <c r="A39" s="1"/>
      <c r="B39" s="248" t="s">
        <v>42</v>
      </c>
      <c r="C39" s="83">
        <f>IF(C6=0,"",NPV(0.025,F106:AI106))</f>
        <v>822130.72772737755</v>
      </c>
      <c r="D39" s="191" t="s">
        <v>87</v>
      </c>
      <c r="E39" s="191" t="s">
        <v>87</v>
      </c>
      <c r="F39" s="244"/>
      <c r="G39" s="79"/>
      <c r="H39" s="79"/>
      <c r="I39" s="79"/>
      <c r="J39" s="188"/>
      <c r="K39" s="79"/>
      <c r="L39" s="79"/>
      <c r="M39" s="79"/>
      <c r="N39" s="79"/>
      <c r="O39" s="79"/>
      <c r="P39" s="11"/>
      <c r="Q39" s="11"/>
      <c r="R39" s="11"/>
      <c r="S39" s="11"/>
      <c r="T39" s="11"/>
      <c r="U39" s="11"/>
      <c r="V39" s="11"/>
      <c r="W39" s="11"/>
      <c r="X39" s="11"/>
      <c r="Y39" s="11"/>
      <c r="Z39" s="11"/>
      <c r="AA39" s="11"/>
      <c r="AB39" s="11"/>
      <c r="AC39" s="11"/>
      <c r="AD39" s="11"/>
      <c r="AE39" s="11"/>
      <c r="AF39" s="11"/>
      <c r="AG39" s="11"/>
      <c r="AH39" s="11"/>
      <c r="AI39" s="11"/>
    </row>
    <row r="40" spans="1:35" x14ac:dyDescent="0.35">
      <c r="A40" s="1"/>
      <c r="B40" s="249" t="s">
        <v>22</v>
      </c>
      <c r="C40" s="83">
        <f>IF(C6=0,"",IF(K115="N/A","N/A",SUM(F115:AI115)*12))</f>
        <v>1221599.6455305279</v>
      </c>
      <c r="D40" s="191" t="s">
        <v>87</v>
      </c>
      <c r="E40" s="191" t="s">
        <v>87</v>
      </c>
      <c r="F40" s="243">
        <f>C40</f>
        <v>1221599.6455305279</v>
      </c>
      <c r="G40" s="57"/>
      <c r="H40" s="79"/>
      <c r="I40" s="79"/>
      <c r="J40" s="188"/>
      <c r="K40" s="79"/>
      <c r="L40" s="79"/>
      <c r="M40" s="79"/>
      <c r="N40" s="79"/>
      <c r="O40" s="79"/>
      <c r="P40" s="11"/>
      <c r="Q40" s="11"/>
      <c r="R40" s="11"/>
      <c r="S40" s="11"/>
      <c r="T40" s="11"/>
      <c r="U40" s="11"/>
      <c r="V40" s="11"/>
      <c r="W40" s="11"/>
      <c r="X40" s="11"/>
      <c r="Y40" s="11"/>
      <c r="Z40" s="11"/>
      <c r="AA40" s="11"/>
      <c r="AB40" s="11"/>
      <c r="AC40" s="11"/>
      <c r="AD40" s="11"/>
      <c r="AE40" s="11"/>
      <c r="AF40" s="11"/>
      <c r="AG40" s="11"/>
      <c r="AH40" s="11"/>
      <c r="AI40" s="11"/>
    </row>
    <row r="41" spans="1:35" hidden="1" x14ac:dyDescent="0.35">
      <c r="A41" s="1"/>
      <c r="B41" s="248" t="s">
        <v>88</v>
      </c>
      <c r="C41" s="83">
        <f>IF(C6=0,"",IF(K115="N/A","N/A",SUM(F127:Y127)*12))</f>
        <v>1123888.4320210118</v>
      </c>
      <c r="D41" s="78">
        <f>IF(C6=0,"",IF(F99="Ineligible","Ineligible",Y126))</f>
        <v>358762.99479605316</v>
      </c>
      <c r="E41" s="235">
        <f>AB71</f>
        <v>142070.14593923706</v>
      </c>
      <c r="F41" s="244"/>
      <c r="G41" s="79"/>
      <c r="H41" s="79"/>
      <c r="I41" s="79" t="s">
        <v>87</v>
      </c>
      <c r="J41" s="188"/>
      <c r="K41" s="79"/>
      <c r="L41" s="79"/>
      <c r="M41" s="79"/>
      <c r="N41" s="79"/>
      <c r="O41" s="79"/>
      <c r="P41" s="11"/>
      <c r="Q41" s="11"/>
      <c r="R41" s="11"/>
      <c r="S41" s="11"/>
      <c r="T41" s="11"/>
      <c r="U41" s="11"/>
      <c r="V41" s="11"/>
      <c r="W41" s="11"/>
      <c r="X41" s="11"/>
      <c r="Y41" s="11"/>
      <c r="Z41" s="82">
        <f>C41+E41</f>
        <v>1265958.5779602488</v>
      </c>
      <c r="AA41" s="11"/>
      <c r="AB41" s="11"/>
      <c r="AC41" s="11"/>
      <c r="AD41" s="11"/>
      <c r="AE41" s="11"/>
      <c r="AF41" s="11"/>
      <c r="AG41" s="11"/>
      <c r="AH41" s="11"/>
      <c r="AI41" s="11"/>
    </row>
    <row r="42" spans="1:35" hidden="1" x14ac:dyDescent="0.35">
      <c r="A42" s="1"/>
      <c r="B42" s="249" t="s">
        <v>85</v>
      </c>
      <c r="C42" s="13">
        <f>IF(C6=0,"",IF(K115="N/A","N/A",SUM(F127:O127)*12))</f>
        <v>375082.47065360035</v>
      </c>
      <c r="D42" s="78">
        <f>O126</f>
        <v>532840.97847975895</v>
      </c>
      <c r="E42" s="78" t="s">
        <v>50</v>
      </c>
      <c r="F42" s="96"/>
      <c r="G42" s="15"/>
      <c r="H42" s="15"/>
      <c r="I42" s="15"/>
      <c r="J42" s="190"/>
      <c r="K42" s="15"/>
      <c r="L42" s="15"/>
      <c r="M42" s="15"/>
      <c r="N42" s="15"/>
      <c r="O42" s="15"/>
      <c r="P42" s="11"/>
      <c r="Q42" s="11"/>
      <c r="R42" s="11"/>
      <c r="S42" s="11"/>
      <c r="T42" s="11"/>
      <c r="U42" s="11"/>
      <c r="V42" s="11"/>
      <c r="W42" s="11"/>
      <c r="X42" s="11"/>
      <c r="Y42" s="11"/>
      <c r="Z42" s="11"/>
      <c r="AA42" s="11"/>
      <c r="AB42" s="11"/>
      <c r="AC42" s="11"/>
      <c r="AD42" s="11"/>
      <c r="AE42" s="11"/>
      <c r="AF42" s="11"/>
      <c r="AG42" s="11"/>
      <c r="AH42" s="11"/>
      <c r="AI42" s="11"/>
    </row>
    <row r="43" spans="1:35" ht="16" thickBot="1" x14ac:dyDescent="0.4">
      <c r="A43" s="1"/>
      <c r="B43" s="250" t="s">
        <v>89</v>
      </c>
      <c r="C43" s="111">
        <f>IF(C6=0,"",IF(K115="N/A","N/A",SUM(F127:AD127)*12))</f>
        <v>1590481.9040425422</v>
      </c>
      <c r="D43" s="108">
        <f>AD126</f>
        <v>225628.75728528801</v>
      </c>
      <c r="E43" s="108">
        <f>AC71</f>
        <v>89348.987884974063</v>
      </c>
      <c r="F43" s="246">
        <f>C43+D43</f>
        <v>1816110.6613278303</v>
      </c>
      <c r="G43" s="15"/>
      <c r="H43" s="15"/>
      <c r="I43" s="15"/>
      <c r="J43" s="190"/>
      <c r="K43" s="15"/>
      <c r="L43" s="15"/>
      <c r="M43" s="15"/>
      <c r="N43" s="15"/>
      <c r="O43" s="15"/>
      <c r="P43" s="11"/>
      <c r="Q43" s="11"/>
      <c r="R43" s="11"/>
      <c r="S43" s="11"/>
      <c r="T43" s="11"/>
      <c r="U43" s="11"/>
      <c r="V43" s="11"/>
      <c r="W43" s="11"/>
      <c r="X43" s="11"/>
      <c r="Y43" s="11"/>
      <c r="Z43" s="82">
        <f>C43+E43</f>
        <v>1679830.8919275163</v>
      </c>
      <c r="AA43" s="11"/>
      <c r="AB43" s="11"/>
      <c r="AC43" s="11"/>
      <c r="AD43" s="11"/>
      <c r="AE43" s="11"/>
      <c r="AF43" s="11"/>
      <c r="AG43" s="11"/>
      <c r="AH43" s="11"/>
      <c r="AI43" s="11"/>
    </row>
    <row r="44" spans="1:35" x14ac:dyDescent="0.35">
      <c r="A44" s="1"/>
      <c r="B44" s="12"/>
      <c r="C44" s="13"/>
      <c r="D44" s="14"/>
      <c r="F44" s="15"/>
      <c r="G44" s="15"/>
      <c r="H44" s="15"/>
      <c r="I44" s="15"/>
      <c r="J44" s="15"/>
      <c r="K44" s="15"/>
      <c r="L44" s="15"/>
      <c r="M44" s="15"/>
      <c r="N44" s="15"/>
      <c r="O44" s="15"/>
      <c r="P44" s="11"/>
      <c r="Q44" s="11"/>
      <c r="R44" s="11"/>
      <c r="S44" s="11"/>
      <c r="T44" s="11"/>
      <c r="U44" s="11"/>
      <c r="V44" s="11"/>
      <c r="W44" s="11"/>
      <c r="X44" s="11"/>
      <c r="Y44" s="11"/>
      <c r="Z44" s="11"/>
      <c r="AA44" s="11"/>
      <c r="AB44" s="11"/>
      <c r="AC44" s="11"/>
      <c r="AD44" s="11"/>
      <c r="AE44" s="11"/>
      <c r="AF44" s="11"/>
      <c r="AG44" s="11"/>
      <c r="AH44" s="11"/>
      <c r="AI44" s="11"/>
    </row>
    <row r="45" spans="1:35" hidden="1" x14ac:dyDescent="0.35">
      <c r="A45" s="1"/>
      <c r="B45" s="12"/>
      <c r="C45" s="13"/>
      <c r="D45" s="14"/>
      <c r="F45" s="15"/>
      <c r="G45" s="15"/>
      <c r="H45" s="15"/>
      <c r="I45" s="15"/>
      <c r="J45" s="15"/>
      <c r="K45" s="15"/>
      <c r="L45" s="15"/>
      <c r="M45" s="15"/>
      <c r="N45" s="15"/>
      <c r="O45" s="15"/>
      <c r="P45" s="11"/>
      <c r="Q45" s="11"/>
      <c r="R45" s="11"/>
      <c r="S45" s="11"/>
      <c r="T45" s="11"/>
      <c r="U45" s="11"/>
      <c r="V45" s="11"/>
      <c r="W45" s="11"/>
      <c r="X45" s="11"/>
      <c r="Y45" s="11"/>
      <c r="Z45" s="11"/>
      <c r="AA45" s="11"/>
      <c r="AB45" s="11"/>
      <c r="AC45" s="11"/>
      <c r="AD45" s="11"/>
      <c r="AE45" s="11"/>
      <c r="AF45" s="11"/>
      <c r="AG45" s="11"/>
      <c r="AH45" s="11"/>
      <c r="AI45" s="11"/>
    </row>
    <row r="46" spans="1:35" hidden="1" x14ac:dyDescent="0.35">
      <c r="A46" s="1"/>
      <c r="B46" s="12"/>
      <c r="C46" s="16"/>
      <c r="D46" s="14"/>
      <c r="F46" s="15"/>
      <c r="G46" s="15"/>
      <c r="H46" s="15"/>
      <c r="I46" s="15"/>
      <c r="J46" s="15"/>
      <c r="K46" s="15"/>
      <c r="L46" s="15"/>
      <c r="M46" s="15"/>
      <c r="N46" s="15"/>
      <c r="O46" s="15"/>
      <c r="P46" s="11"/>
      <c r="Q46" s="11"/>
      <c r="R46" s="11"/>
      <c r="S46" s="11"/>
      <c r="T46" s="11"/>
      <c r="U46" s="11"/>
      <c r="V46" s="11"/>
      <c r="W46" s="11"/>
      <c r="X46" s="11"/>
      <c r="Y46" s="11"/>
      <c r="Z46" s="11"/>
      <c r="AA46" s="11"/>
      <c r="AB46" s="11"/>
      <c r="AC46" s="11"/>
      <c r="AD46" s="11"/>
      <c r="AE46" s="11"/>
      <c r="AF46" s="11"/>
      <c r="AG46" s="11"/>
      <c r="AH46" s="11"/>
      <c r="AI46" s="11"/>
    </row>
    <row r="47" spans="1:35" hidden="1" x14ac:dyDescent="0.35">
      <c r="B47" s="2"/>
      <c r="C47" s="43"/>
      <c r="D47" s="14"/>
      <c r="G47" s="15"/>
      <c r="H47" s="15"/>
      <c r="I47" s="15"/>
      <c r="J47" s="15"/>
      <c r="K47" s="15"/>
      <c r="L47" s="15"/>
      <c r="M47" s="15"/>
      <c r="N47" s="15"/>
      <c r="O47" s="15"/>
      <c r="P47" s="11"/>
      <c r="Q47" s="11"/>
      <c r="R47" s="11"/>
      <c r="S47" s="11"/>
      <c r="T47" s="11"/>
      <c r="U47" s="11"/>
      <c r="V47" s="11"/>
      <c r="W47" s="11"/>
      <c r="X47" s="11"/>
      <c r="Y47" s="11"/>
      <c r="Z47" s="11"/>
      <c r="AA47" s="11"/>
      <c r="AB47" s="11"/>
      <c r="AC47" s="11"/>
      <c r="AD47" s="11"/>
      <c r="AE47" s="11"/>
      <c r="AF47" s="11"/>
      <c r="AG47" s="11"/>
      <c r="AH47" s="11"/>
      <c r="AI47" s="11"/>
    </row>
    <row r="48" spans="1:35" hidden="1" x14ac:dyDescent="0.35">
      <c r="A48" s="1"/>
      <c r="B48" s="44"/>
      <c r="C48" s="43"/>
      <c r="D48" s="14"/>
      <c r="F48" s="15"/>
      <c r="G48" s="15"/>
      <c r="H48" s="15"/>
      <c r="I48" s="15"/>
      <c r="J48" s="15"/>
      <c r="K48" s="15"/>
      <c r="L48" s="15"/>
      <c r="M48" s="15"/>
      <c r="N48" s="15"/>
      <c r="O48" s="15"/>
      <c r="P48" s="40"/>
      <c r="Q48" s="40"/>
      <c r="R48" s="40"/>
      <c r="S48" s="40"/>
      <c r="T48" s="40"/>
      <c r="U48" s="40"/>
      <c r="V48" s="40"/>
      <c r="W48" s="40"/>
      <c r="X48" s="40"/>
      <c r="Y48" s="40"/>
      <c r="Z48" s="40"/>
      <c r="AA48" s="40"/>
      <c r="AB48" s="40"/>
      <c r="AC48" s="40"/>
      <c r="AD48" s="40"/>
      <c r="AE48" s="41"/>
      <c r="AF48" s="40"/>
      <c r="AG48" s="40"/>
      <c r="AH48" s="40"/>
      <c r="AI48" s="40"/>
    </row>
    <row r="49" spans="1:35" hidden="1" x14ac:dyDescent="0.35">
      <c r="A49" s="1"/>
      <c r="B49" s="44"/>
      <c r="C49" s="43"/>
      <c r="D49" s="14"/>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1"/>
      <c r="AF49" s="40"/>
      <c r="AG49" s="40"/>
      <c r="AH49" s="40"/>
      <c r="AI49" s="40"/>
    </row>
    <row r="50" spans="1:35" hidden="1" x14ac:dyDescent="0.35">
      <c r="A50" s="1"/>
      <c r="B50" s="44"/>
      <c r="C50" s="43"/>
      <c r="D50" s="14"/>
      <c r="G50" s="1" t="s">
        <v>60</v>
      </c>
      <c r="I50" s="61" t="s">
        <v>61</v>
      </c>
      <c r="AE50" s="9"/>
    </row>
    <row r="51" spans="1:35" hidden="1" x14ac:dyDescent="0.35">
      <c r="A51" s="1"/>
      <c r="B51" s="44" t="s">
        <v>58</v>
      </c>
      <c r="C51" s="43"/>
      <c r="D51" s="14"/>
      <c r="E51" s="1" t="s">
        <v>62</v>
      </c>
      <c r="F51" s="11">
        <v>68000</v>
      </c>
      <c r="G51" s="11">
        <f>F51*1.025</f>
        <v>69700</v>
      </c>
      <c r="H51" s="11">
        <f t="shared" ref="H51:W54" si="0">G51*1.025</f>
        <v>71442.5</v>
      </c>
      <c r="I51" s="11">
        <f t="shared" si="0"/>
        <v>73228.5625</v>
      </c>
      <c r="J51" s="11">
        <f t="shared" si="0"/>
        <v>75059.276562499988</v>
      </c>
      <c r="K51" s="11">
        <f t="shared" si="0"/>
        <v>76935.758476562478</v>
      </c>
      <c r="L51" s="11">
        <f t="shared" si="0"/>
        <v>78859.152438476536</v>
      </c>
      <c r="M51" s="11">
        <f t="shared" si="0"/>
        <v>80830.631249438447</v>
      </c>
      <c r="N51" s="11">
        <f t="shared" si="0"/>
        <v>82851.397030674401</v>
      </c>
      <c r="O51" s="11">
        <f t="shared" si="0"/>
        <v>84922.681956441258</v>
      </c>
      <c r="P51" s="11">
        <f t="shared" si="0"/>
        <v>87045.749005352278</v>
      </c>
      <c r="Q51" s="11">
        <f t="shared" si="0"/>
        <v>89221.89273048607</v>
      </c>
      <c r="R51" s="11">
        <f t="shared" si="0"/>
        <v>91452.44004874822</v>
      </c>
      <c r="S51" s="11">
        <f t="shared" si="0"/>
        <v>93738.751049966915</v>
      </c>
      <c r="T51" s="11">
        <f t="shared" si="0"/>
        <v>96082.219826216082</v>
      </c>
      <c r="U51" s="11">
        <f t="shared" si="0"/>
        <v>98484.275321871479</v>
      </c>
      <c r="V51" s="11">
        <f t="shared" si="0"/>
        <v>100946.38220491826</v>
      </c>
      <c r="W51" s="11">
        <f t="shared" si="0"/>
        <v>103470.04176004122</v>
      </c>
      <c r="X51" s="11">
        <f t="shared" ref="X51:AI54" si="1">W51*1.025</f>
        <v>106056.79280404224</v>
      </c>
      <c r="Y51" s="11">
        <f t="shared" si="1"/>
        <v>108708.21262414329</v>
      </c>
      <c r="Z51" s="11">
        <f t="shared" si="1"/>
        <v>111425.91793974685</v>
      </c>
      <c r="AA51" s="11">
        <f t="shared" si="1"/>
        <v>114211.56588824051</v>
      </c>
      <c r="AB51" s="11">
        <f t="shared" si="1"/>
        <v>117066.85503544651</v>
      </c>
      <c r="AC51" s="11">
        <f t="shared" si="1"/>
        <v>119993.52641133267</v>
      </c>
      <c r="AD51" s="11">
        <f t="shared" si="1"/>
        <v>122993.36457161598</v>
      </c>
      <c r="AE51" s="11">
        <f t="shared" si="1"/>
        <v>126068.19868590638</v>
      </c>
      <c r="AF51" s="11"/>
      <c r="AG51" s="11"/>
      <c r="AH51" s="11">
        <f t="shared" si="1"/>
        <v>0</v>
      </c>
      <c r="AI51" s="11">
        <f t="shared" si="1"/>
        <v>0</v>
      </c>
    </row>
    <row r="52" spans="1:35" hidden="1" x14ac:dyDescent="0.35">
      <c r="A52" s="1"/>
      <c r="B52" s="44"/>
      <c r="C52" s="43"/>
      <c r="D52" s="14"/>
      <c r="F52" s="11">
        <v>100000</v>
      </c>
      <c r="G52" s="11">
        <f>F52*1.025</f>
        <v>102499.99999999999</v>
      </c>
      <c r="H52" s="11">
        <f t="shared" si="0"/>
        <v>105062.49999999997</v>
      </c>
      <c r="I52" s="11">
        <f t="shared" si="0"/>
        <v>107689.06249999996</v>
      </c>
      <c r="J52" s="11">
        <f t="shared" si="0"/>
        <v>110381.28906249994</v>
      </c>
      <c r="K52" s="11">
        <f t="shared" si="0"/>
        <v>113140.82128906243</v>
      </c>
      <c r="L52" s="11">
        <f t="shared" si="0"/>
        <v>115969.34182128898</v>
      </c>
      <c r="M52" s="11">
        <f t="shared" si="0"/>
        <v>118868.5753668212</v>
      </c>
      <c r="N52" s="11">
        <f t="shared" si="0"/>
        <v>121840.28975099172</v>
      </c>
      <c r="O52" s="11">
        <f t="shared" si="0"/>
        <v>124886.29699476651</v>
      </c>
      <c r="P52" s="11">
        <f t="shared" si="0"/>
        <v>128008.45441963566</v>
      </c>
      <c r="Q52" s="11">
        <f t="shared" si="0"/>
        <v>131208.66578012652</v>
      </c>
      <c r="R52" s="11">
        <f t="shared" si="0"/>
        <v>134488.88242462967</v>
      </c>
      <c r="S52" s="11">
        <f t="shared" si="0"/>
        <v>137851.10448524539</v>
      </c>
      <c r="T52" s="11">
        <f t="shared" si="0"/>
        <v>141297.38209737651</v>
      </c>
      <c r="U52" s="11">
        <f t="shared" si="0"/>
        <v>144829.81664981091</v>
      </c>
      <c r="V52" s="11">
        <f t="shared" si="0"/>
        <v>148450.56206605615</v>
      </c>
      <c r="W52" s="11">
        <f t="shared" si="0"/>
        <v>152161.82611770753</v>
      </c>
      <c r="X52" s="11">
        <f t="shared" si="1"/>
        <v>155965.87177065021</v>
      </c>
      <c r="Y52" s="11">
        <f t="shared" si="1"/>
        <v>159865.01856491645</v>
      </c>
      <c r="Z52" s="11">
        <f t="shared" si="1"/>
        <v>163861.64402903934</v>
      </c>
      <c r="AA52" s="11">
        <f t="shared" si="1"/>
        <v>167958.1851297653</v>
      </c>
      <c r="AB52" s="11">
        <f t="shared" si="1"/>
        <v>172157.13975800943</v>
      </c>
      <c r="AC52" s="11">
        <f t="shared" si="1"/>
        <v>176461.06825195966</v>
      </c>
      <c r="AD52" s="11">
        <f t="shared" si="1"/>
        <v>180872.59495825865</v>
      </c>
      <c r="AE52" s="11">
        <f t="shared" si="1"/>
        <v>185394.40983221511</v>
      </c>
      <c r="AF52" s="11"/>
      <c r="AG52" s="11"/>
      <c r="AH52" s="11">
        <f t="shared" si="1"/>
        <v>0</v>
      </c>
      <c r="AI52" s="11">
        <f t="shared" si="1"/>
        <v>0</v>
      </c>
    </row>
    <row r="53" spans="1:35" hidden="1" x14ac:dyDescent="0.35">
      <c r="A53" s="1"/>
      <c r="B53" s="44" t="s">
        <v>57</v>
      </c>
      <c r="C53" s="43"/>
      <c r="D53" s="14"/>
      <c r="F53" s="11">
        <v>150000</v>
      </c>
      <c r="G53" s="11">
        <f>F53*1.025</f>
        <v>153750</v>
      </c>
      <c r="H53" s="11">
        <f t="shared" si="0"/>
        <v>157593.75</v>
      </c>
      <c r="I53" s="11">
        <f t="shared" si="0"/>
        <v>161533.59375</v>
      </c>
      <c r="J53" s="11">
        <f t="shared" si="0"/>
        <v>165571.93359375</v>
      </c>
      <c r="K53" s="11">
        <f t="shared" si="0"/>
        <v>169711.23193359372</v>
      </c>
      <c r="L53" s="11">
        <f t="shared" si="0"/>
        <v>173954.01273193356</v>
      </c>
      <c r="M53" s="11">
        <f t="shared" si="0"/>
        <v>178302.86305023188</v>
      </c>
      <c r="N53" s="11">
        <f t="shared" si="0"/>
        <v>182760.43462648767</v>
      </c>
      <c r="O53" s="11">
        <f t="shared" si="0"/>
        <v>187329.44549214985</v>
      </c>
      <c r="P53" s="11">
        <f t="shared" si="0"/>
        <v>192012.68162945358</v>
      </c>
      <c r="Q53" s="11">
        <f t="shared" si="0"/>
        <v>196812.9986701899</v>
      </c>
      <c r="R53" s="11">
        <f t="shared" si="0"/>
        <v>201733.32363694464</v>
      </c>
      <c r="S53" s="11">
        <f t="shared" si="0"/>
        <v>206776.65672786825</v>
      </c>
      <c r="T53" s="11">
        <f t="shared" si="0"/>
        <v>211946.07314606494</v>
      </c>
      <c r="U53" s="11">
        <f t="shared" si="0"/>
        <v>217244.72497471655</v>
      </c>
      <c r="V53" s="11">
        <f t="shared" si="0"/>
        <v>222675.84309908445</v>
      </c>
      <c r="W53" s="11">
        <f t="shared" si="0"/>
        <v>228242.73917656153</v>
      </c>
      <c r="X53" s="11">
        <f t="shared" si="1"/>
        <v>233948.80765597554</v>
      </c>
      <c r="Y53" s="11">
        <f t="shared" si="1"/>
        <v>239797.52784737491</v>
      </c>
      <c r="Z53" s="11">
        <f t="shared" si="1"/>
        <v>245792.46604355925</v>
      </c>
      <c r="AA53" s="11">
        <f t="shared" si="1"/>
        <v>251937.27769464822</v>
      </c>
      <c r="AB53" s="11">
        <f t="shared" si="1"/>
        <v>258235.7096370144</v>
      </c>
      <c r="AC53" s="11">
        <f t="shared" si="1"/>
        <v>264691.60237793974</v>
      </c>
      <c r="AD53" s="11">
        <f t="shared" si="1"/>
        <v>271308.89243738819</v>
      </c>
      <c r="AE53" s="11">
        <f t="shared" si="1"/>
        <v>278091.61474832287</v>
      </c>
      <c r="AF53" s="11"/>
      <c r="AG53" s="11"/>
      <c r="AH53" s="11">
        <f t="shared" si="1"/>
        <v>0</v>
      </c>
      <c r="AI53" s="11">
        <f t="shared" si="1"/>
        <v>0</v>
      </c>
    </row>
    <row r="54" spans="1:35" hidden="1" x14ac:dyDescent="0.35">
      <c r="A54" s="1"/>
      <c r="B54" s="44" t="s">
        <v>59</v>
      </c>
      <c r="C54" s="43"/>
      <c r="D54" s="14"/>
      <c r="F54" s="11">
        <v>200000</v>
      </c>
      <c r="G54" s="11">
        <f>F54*1.025</f>
        <v>204999.99999999997</v>
      </c>
      <c r="H54" s="11">
        <f t="shared" si="0"/>
        <v>210124.99999999994</v>
      </c>
      <c r="I54" s="11">
        <f t="shared" si="0"/>
        <v>215378.12499999991</v>
      </c>
      <c r="J54" s="11">
        <f t="shared" si="0"/>
        <v>220762.57812499988</v>
      </c>
      <c r="K54" s="11">
        <f t="shared" si="0"/>
        <v>226281.64257812485</v>
      </c>
      <c r="L54" s="11">
        <f t="shared" si="0"/>
        <v>231938.68364257796</v>
      </c>
      <c r="M54" s="11">
        <f t="shared" si="0"/>
        <v>237737.1507336424</v>
      </c>
      <c r="N54" s="11">
        <f t="shared" si="0"/>
        <v>243680.57950198345</v>
      </c>
      <c r="O54" s="11">
        <f t="shared" si="0"/>
        <v>249772.59398953302</v>
      </c>
      <c r="P54" s="11">
        <f t="shared" si="0"/>
        <v>256016.90883927132</v>
      </c>
      <c r="Q54" s="11">
        <f t="shared" si="0"/>
        <v>262417.33156025305</v>
      </c>
      <c r="R54" s="11">
        <f t="shared" si="0"/>
        <v>268977.76484925934</v>
      </c>
      <c r="S54" s="11">
        <f t="shared" si="0"/>
        <v>275702.20897049078</v>
      </c>
      <c r="T54" s="11">
        <f t="shared" si="0"/>
        <v>282594.76419475302</v>
      </c>
      <c r="U54" s="11">
        <f t="shared" si="0"/>
        <v>289659.63329962181</v>
      </c>
      <c r="V54" s="11">
        <f t="shared" si="0"/>
        <v>296901.12413211231</v>
      </c>
      <c r="W54" s="11">
        <f t="shared" si="0"/>
        <v>304323.65223541507</v>
      </c>
      <c r="X54" s="11">
        <f t="shared" si="1"/>
        <v>311931.74354130041</v>
      </c>
      <c r="Y54" s="11">
        <f t="shared" si="1"/>
        <v>319730.0371298329</v>
      </c>
      <c r="Z54" s="11">
        <f t="shared" si="1"/>
        <v>327723.28805807867</v>
      </c>
      <c r="AA54" s="11">
        <f t="shared" si="1"/>
        <v>335916.37025953061</v>
      </c>
      <c r="AB54" s="11">
        <f t="shared" si="1"/>
        <v>344314.27951601887</v>
      </c>
      <c r="AC54" s="11">
        <f t="shared" si="1"/>
        <v>352922.13650391932</v>
      </c>
      <c r="AD54" s="11">
        <f t="shared" si="1"/>
        <v>361745.18991651729</v>
      </c>
      <c r="AE54" s="11">
        <f t="shared" si="1"/>
        <v>370788.81966443022</v>
      </c>
      <c r="AF54" s="11"/>
      <c r="AG54" s="11"/>
      <c r="AH54" s="11">
        <f t="shared" si="1"/>
        <v>0</v>
      </c>
      <c r="AI54" s="11">
        <f t="shared" si="1"/>
        <v>0</v>
      </c>
    </row>
    <row r="55" spans="1:35" hidden="1" x14ac:dyDescent="0.35">
      <c r="A55" s="1"/>
      <c r="B55" s="44"/>
      <c r="C55" s="43"/>
      <c r="D55" s="14"/>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row>
    <row r="56" spans="1:35" ht="139.5" hidden="1" x14ac:dyDescent="0.35">
      <c r="A56" s="1"/>
      <c r="B56" s="178" t="s">
        <v>63</v>
      </c>
      <c r="C56" s="43"/>
      <c r="D56" s="14"/>
      <c r="E56" s="1" t="s">
        <v>35</v>
      </c>
      <c r="F56" s="11">
        <v>6100</v>
      </c>
      <c r="G56" s="11">
        <v>6252.4999999999991</v>
      </c>
      <c r="H56" s="11">
        <v>6408.8124999999982</v>
      </c>
      <c r="I56" s="11">
        <v>6569.0328124999978</v>
      </c>
      <c r="J56" s="11">
        <v>6733.2586328124971</v>
      </c>
      <c r="K56" s="11">
        <v>6901.5900986328088</v>
      </c>
      <c r="L56" s="11">
        <v>7074.129851098628</v>
      </c>
      <c r="M56" s="11">
        <v>7250.9830973760927</v>
      </c>
      <c r="N56" s="11">
        <v>7432.2576748104948</v>
      </c>
      <c r="O56" s="11">
        <v>7618.0641166807563</v>
      </c>
      <c r="P56" s="11">
        <v>7808.5157195977745</v>
      </c>
      <c r="Q56" s="11">
        <v>8003.7286125877181</v>
      </c>
      <c r="R56" s="11">
        <v>8203.8218279024095</v>
      </c>
      <c r="S56" s="11">
        <v>8408.9173735999684</v>
      </c>
      <c r="T56" s="11">
        <v>8619.1403079399661</v>
      </c>
      <c r="U56" s="11">
        <v>8834.6188156384651</v>
      </c>
      <c r="V56" s="11">
        <v>9055.4842860294266</v>
      </c>
      <c r="W56" s="11">
        <v>9281.8713931801612</v>
      </c>
      <c r="X56" s="11">
        <v>9513.9181780096642</v>
      </c>
      <c r="Y56" s="11">
        <v>9751.7661324599048</v>
      </c>
      <c r="Z56" s="11">
        <v>9995.5602857714021</v>
      </c>
      <c r="AA56" s="11"/>
      <c r="AB56" s="11"/>
      <c r="AC56" s="11"/>
      <c r="AD56" s="11"/>
      <c r="AE56" s="11"/>
      <c r="AF56" s="11"/>
      <c r="AG56" s="11"/>
      <c r="AH56" s="11"/>
      <c r="AI56" s="11"/>
    </row>
    <row r="57" spans="1:35" hidden="1" x14ac:dyDescent="0.35">
      <c r="A57" s="1"/>
      <c r="B57" s="44"/>
      <c r="C57" s="43"/>
      <c r="D57" s="14"/>
      <c r="E57" s="1" t="s">
        <v>36</v>
      </c>
      <c r="F57" s="11">
        <v>3900</v>
      </c>
      <c r="G57" s="11">
        <v>3997.4999999999995</v>
      </c>
      <c r="H57" s="11">
        <v>4097.4374999999991</v>
      </c>
      <c r="I57" s="11">
        <v>4199.8734374999985</v>
      </c>
      <c r="J57" s="11">
        <v>4304.8702734374983</v>
      </c>
      <c r="K57" s="11">
        <v>4412.4920302734354</v>
      </c>
      <c r="L57" s="11">
        <v>4522.804331030271</v>
      </c>
      <c r="M57" s="11">
        <v>4635.8744393060269</v>
      </c>
      <c r="N57" s="11">
        <v>4751.7713002886776</v>
      </c>
      <c r="O57" s="11">
        <v>4870.5655827958944</v>
      </c>
      <c r="P57" s="11">
        <v>4992.329722365791</v>
      </c>
      <c r="Q57" s="11">
        <v>5117.1379654249349</v>
      </c>
      <c r="R57" s="11">
        <v>5245.0664145605579</v>
      </c>
      <c r="S57" s="11">
        <v>5376.1930749245712</v>
      </c>
      <c r="T57" s="11">
        <v>5510.5979017976852</v>
      </c>
      <c r="U57" s="11">
        <v>5648.3628493426268</v>
      </c>
      <c r="V57" s="11">
        <v>5789.5719205761916</v>
      </c>
      <c r="W57" s="11">
        <v>5934.3112185905957</v>
      </c>
      <c r="X57" s="11">
        <v>6082.6689990553605</v>
      </c>
      <c r="Y57" s="11">
        <v>6234.7357240317442</v>
      </c>
      <c r="Z57" s="11">
        <v>6390.6041171325369</v>
      </c>
      <c r="AA57" s="11"/>
      <c r="AB57" s="11"/>
      <c r="AC57" s="11"/>
      <c r="AD57" s="11"/>
      <c r="AE57" s="11"/>
      <c r="AF57" s="11"/>
      <c r="AG57" s="11"/>
      <c r="AH57" s="11"/>
      <c r="AI57" s="11"/>
    </row>
    <row r="58" spans="1:35" hidden="1" x14ac:dyDescent="0.35">
      <c r="A58" s="1"/>
      <c r="B58" s="44"/>
      <c r="C58" s="43"/>
      <c r="D58" s="14"/>
      <c r="E58" s="1" t="s">
        <v>37</v>
      </c>
      <c r="F58" s="11">
        <v>10000</v>
      </c>
      <c r="G58" s="11">
        <v>10250</v>
      </c>
      <c r="H58" s="11">
        <v>10506.249999999998</v>
      </c>
      <c r="I58" s="11">
        <v>10768.906249999996</v>
      </c>
      <c r="J58" s="11">
        <v>11038.128906249995</v>
      </c>
      <c r="K58" s="11">
        <v>11314.082128906244</v>
      </c>
      <c r="L58" s="11">
        <v>11596.9341821289</v>
      </c>
      <c r="M58" s="11">
        <v>11886.857536682121</v>
      </c>
      <c r="N58" s="11">
        <v>12184.028975099172</v>
      </c>
      <c r="O58" s="11">
        <v>12488.629699476651</v>
      </c>
      <c r="P58" s="11">
        <v>12800.845441963565</v>
      </c>
      <c r="Q58" s="11">
        <v>13120.866578012654</v>
      </c>
      <c r="R58" s="11">
        <v>13448.888242462968</v>
      </c>
      <c r="S58" s="11">
        <v>13785.110448524541</v>
      </c>
      <c r="T58" s="11">
        <v>14129.738209737654</v>
      </c>
      <c r="U58" s="11">
        <v>14482.981664981095</v>
      </c>
      <c r="V58" s="11">
        <v>14845.056206605621</v>
      </c>
      <c r="W58" s="11">
        <v>15216.182611770761</v>
      </c>
      <c r="X58" s="11">
        <v>15596.587177065028</v>
      </c>
      <c r="Y58" s="11">
        <v>15986.501856491652</v>
      </c>
      <c r="Z58" s="11">
        <v>16386.164402903942</v>
      </c>
      <c r="AA58" s="11"/>
      <c r="AB58" s="11"/>
      <c r="AC58" s="11"/>
      <c r="AD58" s="11"/>
      <c r="AE58" s="11"/>
      <c r="AF58" s="11"/>
      <c r="AG58" s="11"/>
      <c r="AH58" s="11"/>
      <c r="AI58" s="11"/>
    </row>
    <row r="59" spans="1:35" hidden="1" x14ac:dyDescent="0.35">
      <c r="A59" s="1"/>
      <c r="B59" s="44"/>
      <c r="C59" s="43"/>
      <c r="D59" s="14"/>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row>
    <row r="60" spans="1:35" hidden="1" x14ac:dyDescent="0.35">
      <c r="A60" s="1"/>
      <c r="B60" s="44"/>
      <c r="C60" s="43"/>
      <c r="D60" s="14"/>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row>
    <row r="61" spans="1:35" hidden="1" x14ac:dyDescent="0.35">
      <c r="A61" s="1"/>
      <c r="B61" s="44"/>
      <c r="C61" s="43"/>
      <c r="D61" s="14"/>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row>
    <row r="62" spans="1:35" hidden="1" x14ac:dyDescent="0.35">
      <c r="A62" s="1"/>
      <c r="B62" s="44"/>
      <c r="C62" s="43"/>
      <c r="D62" s="14"/>
      <c r="E62" s="179">
        <v>0</v>
      </c>
      <c r="F62" s="8">
        <v>0</v>
      </c>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row>
    <row r="63" spans="1:35" hidden="1" x14ac:dyDescent="0.35">
      <c r="A63" s="1"/>
      <c r="B63" s="44"/>
      <c r="C63" s="43"/>
      <c r="D63" s="14"/>
      <c r="E63" s="179">
        <v>0.1</v>
      </c>
      <c r="F63" s="8">
        <v>8925</v>
      </c>
      <c r="G63" s="11">
        <v>9148.125</v>
      </c>
      <c r="H63" s="11">
        <v>9376.828125</v>
      </c>
      <c r="I63" s="11">
        <v>9611.2488281249989</v>
      </c>
      <c r="J63" s="11">
        <v>9851.5300488281227</v>
      </c>
      <c r="K63" s="11">
        <v>10097.818300048824</v>
      </c>
      <c r="L63" s="11">
        <v>10350.263757550045</v>
      </c>
      <c r="M63" s="11">
        <v>10609.020351488794</v>
      </c>
      <c r="N63" s="11">
        <v>10874.245860276013</v>
      </c>
      <c r="O63" s="11">
        <v>11146.102006782912</v>
      </c>
      <c r="P63" s="11">
        <v>11424.754556952485</v>
      </c>
      <c r="Q63" s="11">
        <v>11710.373420876296</v>
      </c>
      <c r="R63" s="11">
        <v>12003.132756398203</v>
      </c>
      <c r="S63" s="11">
        <v>12303.211075308158</v>
      </c>
      <c r="T63" s="11">
        <v>12610.791352190861</v>
      </c>
      <c r="U63" s="11">
        <v>12926.061135995631</v>
      </c>
      <c r="V63" s="11">
        <v>13249.21266439552</v>
      </c>
      <c r="W63" s="11">
        <v>13580.442981005406</v>
      </c>
      <c r="X63" s="11">
        <v>13919.954055530539</v>
      </c>
      <c r="Y63" s="11">
        <v>14267.952906918801</v>
      </c>
      <c r="Z63" s="11">
        <v>14624.651729591769</v>
      </c>
      <c r="AA63" s="11"/>
      <c r="AB63" s="11"/>
      <c r="AC63" s="11"/>
      <c r="AD63" s="11"/>
      <c r="AE63" s="11"/>
      <c r="AF63" s="11"/>
      <c r="AG63" s="11"/>
      <c r="AH63" s="11"/>
      <c r="AI63" s="11"/>
    </row>
    <row r="64" spans="1:35" hidden="1" x14ac:dyDescent="0.35">
      <c r="A64" s="1"/>
      <c r="B64" s="44"/>
      <c r="C64" s="43"/>
      <c r="D64" s="14"/>
      <c r="E64" s="179">
        <v>0.15</v>
      </c>
      <c r="F64" s="8">
        <v>36250</v>
      </c>
      <c r="G64" s="11">
        <v>37156.25</v>
      </c>
      <c r="H64" s="11">
        <v>38085.15625</v>
      </c>
      <c r="I64" s="11">
        <v>39037.28515625</v>
      </c>
      <c r="J64" s="11">
        <v>40013.21728515625</v>
      </c>
      <c r="K64" s="11">
        <v>41013.547717285153</v>
      </c>
      <c r="L64" s="11">
        <v>42038.886410217281</v>
      </c>
      <c r="M64" s="11">
        <v>43089.858570472708</v>
      </c>
      <c r="N64" s="11">
        <v>44167.105034734523</v>
      </c>
      <c r="O64" s="11">
        <v>45271.282660602883</v>
      </c>
      <c r="P64" s="11">
        <v>46403.064727117948</v>
      </c>
      <c r="Q64" s="11">
        <v>47563.141345295895</v>
      </c>
      <c r="R64" s="11">
        <v>48752.219878928285</v>
      </c>
      <c r="S64" s="11">
        <v>49971.025375901489</v>
      </c>
      <c r="T64" s="11">
        <v>51220.301010299023</v>
      </c>
      <c r="U64" s="11">
        <v>52500.808535556491</v>
      </c>
      <c r="V64" s="11">
        <v>53813.328748945401</v>
      </c>
      <c r="W64" s="11">
        <v>55158.661967669032</v>
      </c>
      <c r="X64" s="11">
        <v>56537.62851686075</v>
      </c>
      <c r="Y64" s="11">
        <v>57951.069229782261</v>
      </c>
      <c r="Z64" s="11">
        <v>59399.845960526814</v>
      </c>
      <c r="AA64" s="11"/>
      <c r="AB64" s="11"/>
      <c r="AC64" s="11"/>
      <c r="AD64" s="11"/>
      <c r="AE64" s="11"/>
      <c r="AF64" s="11"/>
      <c r="AG64" s="11"/>
      <c r="AH64" s="11"/>
      <c r="AI64" s="11"/>
    </row>
    <row r="65" spans="1:35" hidden="1" x14ac:dyDescent="0.35">
      <c r="A65" s="1"/>
      <c r="B65" s="44"/>
      <c r="C65" s="43"/>
      <c r="D65" s="14"/>
      <c r="E65" s="179">
        <v>0.25</v>
      </c>
      <c r="F65" s="8">
        <v>87850</v>
      </c>
      <c r="G65" s="11">
        <v>90046.249999999985</v>
      </c>
      <c r="H65" s="11">
        <v>92297.406249999971</v>
      </c>
      <c r="I65" s="11">
        <v>94604.841406249965</v>
      </c>
      <c r="J65" s="11">
        <v>96969.962441406213</v>
      </c>
      <c r="K65" s="11">
        <v>99394.211502441365</v>
      </c>
      <c r="L65" s="11">
        <v>101879.06679000238</v>
      </c>
      <c r="M65" s="11">
        <v>104426.04345975243</v>
      </c>
      <c r="N65" s="11">
        <v>107036.69454624623</v>
      </c>
      <c r="O65" s="11">
        <v>109712.61190990238</v>
      </c>
      <c r="P65" s="11">
        <v>112455.42720764993</v>
      </c>
      <c r="Q65" s="11">
        <v>115266.81288784117</v>
      </c>
      <c r="R65" s="11">
        <v>118148.48321003719</v>
      </c>
      <c r="S65" s="11">
        <v>121102.1952902881</v>
      </c>
      <c r="T65" s="11">
        <v>124129.75017254529</v>
      </c>
      <c r="U65" s="11">
        <v>127232.99392685891</v>
      </c>
      <c r="V65" s="11">
        <v>130413.81877503036</v>
      </c>
      <c r="W65" s="11">
        <v>133674.1642444061</v>
      </c>
      <c r="X65" s="11">
        <v>137016.01835051624</v>
      </c>
      <c r="Y65" s="11">
        <v>140441.41880927913</v>
      </c>
      <c r="Z65" s="11">
        <v>143952.45427951109</v>
      </c>
      <c r="AA65" s="11"/>
      <c r="AB65" s="11"/>
      <c r="AC65" s="11"/>
      <c r="AD65" s="11"/>
      <c r="AE65" s="11"/>
      <c r="AF65" s="11"/>
      <c r="AG65" s="11"/>
      <c r="AH65" s="11"/>
      <c r="AI65" s="11"/>
    </row>
    <row r="66" spans="1:35" hidden="1" x14ac:dyDescent="0.35">
      <c r="A66" s="1"/>
      <c r="B66" s="44"/>
      <c r="C66" s="43"/>
      <c r="D66" s="14"/>
      <c r="E66" s="179">
        <v>0.28000000000000003</v>
      </c>
      <c r="F66" s="112">
        <v>183250</v>
      </c>
      <c r="G66" s="11">
        <v>187831.24999999997</v>
      </c>
      <c r="H66" s="11">
        <v>192527.03124999994</v>
      </c>
      <c r="I66" s="11">
        <v>197340.20703124991</v>
      </c>
      <c r="J66" s="11">
        <v>202273.71220703115</v>
      </c>
      <c r="K66" s="11">
        <v>207330.5550122069</v>
      </c>
      <c r="L66" s="11">
        <v>212513.81888751205</v>
      </c>
      <c r="M66" s="11">
        <v>217826.66435969985</v>
      </c>
      <c r="N66" s="11">
        <v>223272.33096869232</v>
      </c>
      <c r="O66" s="11">
        <v>228854.13924290962</v>
      </c>
      <c r="P66" s="11">
        <v>234575.49272398234</v>
      </c>
      <c r="Q66" s="11">
        <v>240439.88004208187</v>
      </c>
      <c r="R66" s="11">
        <v>246450.87704313389</v>
      </c>
      <c r="S66" s="11">
        <v>252612.14896921223</v>
      </c>
      <c r="T66" s="11">
        <v>258927.45269344252</v>
      </c>
      <c r="U66" s="11">
        <v>265400.63901077857</v>
      </c>
      <c r="V66" s="11">
        <v>272035.654986048</v>
      </c>
      <c r="W66" s="11">
        <v>278836.54636069917</v>
      </c>
      <c r="X66" s="11">
        <v>285807.46001971664</v>
      </c>
      <c r="Y66" s="11">
        <v>292952.64652020956</v>
      </c>
      <c r="Z66" s="11">
        <v>300276.46268321475</v>
      </c>
      <c r="AA66" s="11"/>
      <c r="AB66" s="11"/>
      <c r="AC66" s="11"/>
      <c r="AD66" s="11"/>
      <c r="AE66" s="11"/>
      <c r="AF66" s="11"/>
      <c r="AG66" s="11"/>
      <c r="AH66" s="11"/>
      <c r="AI66" s="11"/>
    </row>
    <row r="67" spans="1:35" hidden="1" x14ac:dyDescent="0.35">
      <c r="A67" s="1"/>
      <c r="B67" s="44"/>
      <c r="C67" s="43"/>
      <c r="D67" s="14"/>
      <c r="E67" s="179">
        <v>0.33</v>
      </c>
      <c r="F67" s="8">
        <v>398350</v>
      </c>
      <c r="G67" s="11">
        <v>408308.74999999994</v>
      </c>
      <c r="H67" s="11">
        <v>418516.46874999988</v>
      </c>
      <c r="I67" s="11">
        <v>428979.38046874985</v>
      </c>
      <c r="J67" s="11">
        <v>439703.86498046858</v>
      </c>
      <c r="K67" s="11">
        <v>450696.46160498029</v>
      </c>
      <c r="L67" s="11">
        <v>461963.87314510474</v>
      </c>
      <c r="M67" s="11">
        <v>473512.96997373231</v>
      </c>
      <c r="N67" s="11">
        <v>485350.79422307556</v>
      </c>
      <c r="O67" s="11">
        <v>497484.56407865242</v>
      </c>
      <c r="P67" s="11">
        <v>509921.67818061868</v>
      </c>
      <c r="Q67" s="11">
        <v>522669.72013513412</v>
      </c>
      <c r="R67" s="11">
        <v>535736.46313851245</v>
      </c>
      <c r="S67" s="11">
        <v>549129.87471697526</v>
      </c>
      <c r="T67" s="11">
        <v>562858.12158489961</v>
      </c>
      <c r="U67" s="11">
        <v>576929.57462452201</v>
      </c>
      <c r="V67" s="11">
        <v>591352.81399013498</v>
      </c>
      <c r="W67" s="11">
        <v>606136.63433988835</v>
      </c>
      <c r="X67" s="11">
        <v>621290.05019838549</v>
      </c>
      <c r="Y67" s="11">
        <v>636822.30145334511</v>
      </c>
      <c r="Z67" s="11">
        <v>652742.85898967867</v>
      </c>
      <c r="AA67" s="11"/>
      <c r="AB67" s="11"/>
      <c r="AC67" s="11"/>
      <c r="AD67" s="11"/>
      <c r="AE67" s="11"/>
      <c r="AF67" s="11"/>
      <c r="AG67" s="11"/>
      <c r="AH67" s="11"/>
      <c r="AI67" s="11"/>
    </row>
    <row r="68" spans="1:35" hidden="1" x14ac:dyDescent="0.35">
      <c r="A68" s="1"/>
      <c r="B68" s="44"/>
      <c r="C68" s="43"/>
      <c r="D68" s="14"/>
      <c r="E68" s="179">
        <v>0.35</v>
      </c>
      <c r="F68" s="78">
        <v>400000</v>
      </c>
      <c r="G68" s="11">
        <v>409999.99999999994</v>
      </c>
      <c r="H68" s="11">
        <v>420249.99999999988</v>
      </c>
      <c r="I68" s="11">
        <v>430756.24999999983</v>
      </c>
      <c r="J68" s="11">
        <v>441525.15624999977</v>
      </c>
      <c r="K68" s="11">
        <v>452563.28515624971</v>
      </c>
      <c r="L68" s="11">
        <v>463877.36728515592</v>
      </c>
      <c r="M68" s="11">
        <v>475474.30146728479</v>
      </c>
      <c r="N68" s="11">
        <v>487361.1590039669</v>
      </c>
      <c r="O68" s="11">
        <v>499545.18797906605</v>
      </c>
      <c r="P68" s="11">
        <v>512033.81767854263</v>
      </c>
      <c r="Q68" s="11">
        <v>524834.6631205061</v>
      </c>
      <c r="R68" s="11">
        <v>537955.52969851869</v>
      </c>
      <c r="S68" s="11">
        <v>551404.41794098157</v>
      </c>
      <c r="T68" s="11">
        <v>565189.52838950604</v>
      </c>
      <c r="U68" s="11">
        <v>579319.26659924362</v>
      </c>
      <c r="V68" s="11">
        <v>593802.24826422462</v>
      </c>
      <c r="W68" s="11">
        <v>608647.30447083013</v>
      </c>
      <c r="X68" s="11">
        <v>623863.48708260083</v>
      </c>
      <c r="Y68" s="11">
        <v>639460.07425966579</v>
      </c>
      <c r="Z68" s="11">
        <v>655446.57611615735</v>
      </c>
      <c r="AA68" s="11"/>
      <c r="AB68" s="11"/>
      <c r="AC68" s="11"/>
      <c r="AD68" s="11"/>
      <c r="AE68" s="11"/>
      <c r="AF68" s="11"/>
      <c r="AG68" s="11"/>
      <c r="AH68" s="11"/>
      <c r="AI68" s="11"/>
    </row>
    <row r="69" spans="1:35" hidden="1" x14ac:dyDescent="0.35">
      <c r="A69" s="1"/>
      <c r="B69" s="44"/>
      <c r="C69" s="43"/>
      <c r="D69" s="14"/>
      <c r="E69" s="180">
        <v>0.39600000000000002</v>
      </c>
      <c r="F69" s="11"/>
      <c r="G69" s="11"/>
      <c r="H69" s="11"/>
      <c r="I69" s="11"/>
      <c r="J69" s="11"/>
      <c r="K69" s="11"/>
      <c r="L69" s="11"/>
      <c r="M69" s="11"/>
      <c r="N69" s="11"/>
      <c r="O69" s="11"/>
      <c r="P69" s="11"/>
      <c r="Q69" s="11"/>
      <c r="R69" s="11"/>
      <c r="S69" s="11"/>
      <c r="T69" s="11"/>
      <c r="U69" s="11"/>
      <c r="V69" s="11"/>
      <c r="W69" s="11"/>
      <c r="X69" s="11"/>
      <c r="Y69" s="11"/>
      <c r="Z69" s="11"/>
      <c r="AA69" s="11" t="s">
        <v>86</v>
      </c>
      <c r="AB69" s="11"/>
      <c r="AC69" s="11"/>
      <c r="AD69" s="11"/>
      <c r="AE69" s="11"/>
      <c r="AF69" s="11"/>
      <c r="AG69" s="11"/>
      <c r="AH69" s="11"/>
      <c r="AI69" s="11"/>
    </row>
    <row r="70" spans="1:35" hidden="1" x14ac:dyDescent="0.35">
      <c r="A70" s="1"/>
      <c r="B70" s="44"/>
      <c r="C70" s="43"/>
      <c r="D70" s="14"/>
      <c r="F70" s="11"/>
      <c r="G70" s="11"/>
      <c r="H70" s="11"/>
      <c r="I70" s="11"/>
      <c r="J70" s="11"/>
      <c r="K70" s="11"/>
      <c r="L70" s="11"/>
      <c r="M70" s="11"/>
      <c r="N70" s="11"/>
      <c r="O70" s="11"/>
      <c r="P70" s="11"/>
      <c r="Q70" s="11"/>
      <c r="R70" s="11"/>
      <c r="S70" s="11"/>
      <c r="T70" s="11"/>
      <c r="U70" s="11"/>
      <c r="V70" s="11"/>
      <c r="W70" s="11"/>
      <c r="X70" s="11" t="s">
        <v>38</v>
      </c>
      <c r="Y70" s="11"/>
      <c r="Z70" s="11">
        <f>(Z76-Z58)+D33</f>
        <v>1008341.9104134482</v>
      </c>
      <c r="AA70" s="11">
        <f>(Z76-Z58)+D32</f>
        <v>891167.67051016318</v>
      </c>
      <c r="AB70" s="11">
        <f>(Z76-Z58)+D41</f>
        <v>1249930.6653062163</v>
      </c>
      <c r="AC70" s="11">
        <f>(Z76-Z58)+D43</f>
        <v>1116796.4277954511</v>
      </c>
      <c r="AD70" s="11"/>
      <c r="AE70" s="11"/>
      <c r="AF70" s="11"/>
      <c r="AG70" s="11"/>
      <c r="AH70" s="11"/>
      <c r="AI70" s="11"/>
    </row>
    <row r="71" spans="1:35" hidden="1" x14ac:dyDescent="0.35">
      <c r="A71" s="1"/>
      <c r="B71" s="44"/>
      <c r="C71" s="43"/>
      <c r="D71" s="14"/>
      <c r="E71" s="11" t="s">
        <v>39</v>
      </c>
      <c r="F71" s="11">
        <v>0</v>
      </c>
      <c r="G71" s="11">
        <v>0</v>
      </c>
      <c r="H71" s="11">
        <v>0</v>
      </c>
      <c r="I71" s="11">
        <v>0</v>
      </c>
      <c r="J71" s="11">
        <v>0</v>
      </c>
      <c r="K71" s="11">
        <v>0</v>
      </c>
      <c r="L71" s="11">
        <v>0</v>
      </c>
      <c r="M71" s="11">
        <v>0</v>
      </c>
      <c r="N71" s="11">
        <v>0</v>
      </c>
      <c r="O71" s="11">
        <v>0</v>
      </c>
      <c r="P71" s="11">
        <v>0</v>
      </c>
      <c r="Q71" s="11">
        <v>0</v>
      </c>
      <c r="R71" s="11">
        <v>0</v>
      </c>
      <c r="S71" s="11">
        <v>0</v>
      </c>
      <c r="T71" s="11">
        <v>0</v>
      </c>
      <c r="U71" s="11">
        <v>0</v>
      </c>
      <c r="V71" s="11">
        <v>0</v>
      </c>
      <c r="W71" s="11">
        <v>0</v>
      </c>
      <c r="X71" s="11">
        <v>0</v>
      </c>
      <c r="Y71" s="11">
        <v>0</v>
      </c>
      <c r="Z71" s="11">
        <f>IF(
Z70&lt;=Z63,
D33*E63,
IF(
Z70&lt;=Z64,
D33*E64,
IF(
Z70&lt;=Z65,
D33*E65,
IF(
Z70&lt;=Z66,
D33*E66,
IF(
Z70&lt;=Z67,
D33*E67,
IF(
Z70&lt;=Z68,
D33*E68,
D33*E69
))))))</f>
        <v>46400.999001700889</v>
      </c>
      <c r="AA71" s="181">
        <f>IF(
AA70&lt;=Z63,
D32*E63,
IF(
AA70&lt;=Z64,
D32*E64,
IF(
AA70&lt;=Z65,
D32*E65,
IF(
AA70&lt;=Z66,
D32*E66,
IF(
AA70&lt;=Z67,
D32*E67,
IF(
AA70&lt;=Z68,
D32*E68,
D32*E69
))))))</f>
        <v>0</v>
      </c>
      <c r="AB71" s="11">
        <f>IF(
AB70&lt;=Z63,
D41*E63,
IF(
AB70&lt;=Z64,
D41*E64,
IF(
AB70&lt;=Z65,
D41*E65,
IF(
AB70&lt;=Z66,
D41*E66,
IF(
AB70&lt;=Z67,
D41*E67,
IF(
AB70&lt;=Z68,
D41*E68,
D41*E69
))))))</f>
        <v>142070.14593923706</v>
      </c>
      <c r="AC71" s="11">
        <f>IF(
AC70&lt;=Z63,
D43*E63,
IF(
AC70&lt;=Z64,
D43*E64,
IF(
AC70&lt;=Z65,
D43*E65,
IF(
AC70&lt;=Z66,
D43*E66,
IF(
AC70&lt;=Z67,
D43*E67,
IF(
AC70&lt;=Z68,
D43*E68,
D43*E69
))))))</f>
        <v>89348.987884974063</v>
      </c>
      <c r="AD71" s="11"/>
      <c r="AE71" s="11"/>
      <c r="AF71" s="11"/>
      <c r="AG71" s="11"/>
      <c r="AH71" s="11"/>
      <c r="AI71" s="11"/>
    </row>
    <row r="72" spans="1:35" x14ac:dyDescent="0.35">
      <c r="A72" s="1"/>
      <c r="B72" s="44"/>
      <c r="C72" s="43"/>
      <c r="D72" s="14"/>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row>
    <row r="73" spans="1:35" x14ac:dyDescent="0.35">
      <c r="B73" s="2"/>
      <c r="C73" s="279" t="s">
        <v>17</v>
      </c>
      <c r="D73" s="279"/>
      <c r="E73" s="279"/>
      <c r="F73" s="9">
        <v>1</v>
      </c>
      <c r="G73" s="9">
        <f t="shared" ref="G73:AD73" si="2">F73+1</f>
        <v>2</v>
      </c>
      <c r="H73" s="9">
        <f t="shared" si="2"/>
        <v>3</v>
      </c>
      <c r="I73" s="9">
        <f t="shared" si="2"/>
        <v>4</v>
      </c>
      <c r="J73" s="9">
        <f t="shared" si="2"/>
        <v>5</v>
      </c>
      <c r="K73" s="9">
        <f t="shared" si="2"/>
        <v>6</v>
      </c>
      <c r="L73" s="9">
        <f t="shared" si="2"/>
        <v>7</v>
      </c>
      <c r="M73" s="9">
        <f t="shared" si="2"/>
        <v>8</v>
      </c>
      <c r="N73" s="9">
        <f t="shared" si="2"/>
        <v>9</v>
      </c>
      <c r="O73" s="9">
        <f t="shared" si="2"/>
        <v>10</v>
      </c>
      <c r="P73" s="9">
        <f t="shared" si="2"/>
        <v>11</v>
      </c>
      <c r="Q73" s="9">
        <f t="shared" si="2"/>
        <v>12</v>
      </c>
      <c r="R73" s="9">
        <f t="shared" si="2"/>
        <v>13</v>
      </c>
      <c r="S73" s="9">
        <f t="shared" si="2"/>
        <v>14</v>
      </c>
      <c r="T73" s="9">
        <f t="shared" si="2"/>
        <v>15</v>
      </c>
      <c r="U73" s="9">
        <f t="shared" si="2"/>
        <v>16</v>
      </c>
      <c r="V73" s="9">
        <f t="shared" si="2"/>
        <v>17</v>
      </c>
      <c r="W73" s="9">
        <f t="shared" si="2"/>
        <v>18</v>
      </c>
      <c r="X73" s="9">
        <f t="shared" si="2"/>
        <v>19</v>
      </c>
      <c r="Y73" s="9">
        <f t="shared" si="2"/>
        <v>20</v>
      </c>
      <c r="Z73" s="9">
        <f t="shared" si="2"/>
        <v>21</v>
      </c>
      <c r="AA73" s="9">
        <f t="shared" si="2"/>
        <v>22</v>
      </c>
      <c r="AB73" s="9">
        <f t="shared" si="2"/>
        <v>23</v>
      </c>
      <c r="AC73" s="9">
        <f t="shared" si="2"/>
        <v>24</v>
      </c>
      <c r="AD73" s="9">
        <f t="shared" si="2"/>
        <v>25</v>
      </c>
      <c r="AE73" s="9"/>
      <c r="AF73" s="9"/>
      <c r="AG73" s="9"/>
      <c r="AH73" s="9">
        <v>29</v>
      </c>
      <c r="AI73" s="9">
        <v>30</v>
      </c>
    </row>
    <row r="74" spans="1:35" x14ac:dyDescent="0.35">
      <c r="B74" s="29"/>
      <c r="C74" s="1" t="s">
        <v>151</v>
      </c>
      <c r="D74" s="75"/>
      <c r="E74" s="75"/>
      <c r="F74" s="40">
        <v>0</v>
      </c>
      <c r="G74" s="40">
        <v>0</v>
      </c>
      <c r="H74" s="40">
        <v>0</v>
      </c>
      <c r="I74" s="40">
        <v>0</v>
      </c>
      <c r="J74" s="40">
        <v>0</v>
      </c>
      <c r="K74" s="40">
        <v>0</v>
      </c>
      <c r="L74" s="40">
        <v>0</v>
      </c>
      <c r="M74" s="40">
        <v>0</v>
      </c>
      <c r="N74" s="40">
        <v>0</v>
      </c>
      <c r="O74" s="40">
        <v>0</v>
      </c>
      <c r="P74" s="40">
        <v>0</v>
      </c>
      <c r="Q74" s="40">
        <v>0</v>
      </c>
      <c r="R74" s="40">
        <v>0</v>
      </c>
      <c r="S74" s="40">
        <v>0</v>
      </c>
      <c r="T74" s="40">
        <v>0</v>
      </c>
      <c r="U74" s="40">
        <v>0</v>
      </c>
      <c r="V74" s="40">
        <v>0</v>
      </c>
      <c r="W74" s="40">
        <v>0</v>
      </c>
      <c r="X74" s="40">
        <v>0</v>
      </c>
      <c r="Y74" s="40">
        <v>0</v>
      </c>
      <c r="Z74" s="40">
        <v>0</v>
      </c>
      <c r="AA74" s="40">
        <v>0</v>
      </c>
      <c r="AB74" s="40">
        <v>0</v>
      </c>
      <c r="AC74" s="40">
        <v>0</v>
      </c>
      <c r="AD74" s="40">
        <v>0</v>
      </c>
    </row>
    <row r="75" spans="1:35" x14ac:dyDescent="0.35">
      <c r="A75" s="1"/>
      <c r="B75" s="18"/>
      <c r="C75" s="274" t="s">
        <v>32</v>
      </c>
      <c r="D75" s="274"/>
      <c r="E75" s="274"/>
      <c r="F75" s="182">
        <v>80000</v>
      </c>
      <c r="G75" s="182">
        <v>105000</v>
      </c>
      <c r="H75" s="182">
        <v>178000</v>
      </c>
      <c r="I75" s="182">
        <v>350000</v>
      </c>
      <c r="J75" s="182">
        <f>I75*1.03</f>
        <v>360500</v>
      </c>
      <c r="K75" s="182">
        <f t="shared" ref="K75:AD75" si="3">J75*1.03</f>
        <v>371315</v>
      </c>
      <c r="L75" s="182">
        <v>600000</v>
      </c>
      <c r="M75" s="182">
        <f t="shared" si="3"/>
        <v>618000</v>
      </c>
      <c r="N75" s="182">
        <f t="shared" si="3"/>
        <v>636540</v>
      </c>
      <c r="O75" s="182">
        <f t="shared" si="3"/>
        <v>655636.20000000007</v>
      </c>
      <c r="P75" s="182">
        <f t="shared" si="3"/>
        <v>675305.28600000008</v>
      </c>
      <c r="Q75" s="182">
        <f t="shared" si="3"/>
        <v>695564.44458000013</v>
      </c>
      <c r="R75" s="182">
        <f t="shared" si="3"/>
        <v>716431.3779174001</v>
      </c>
      <c r="S75" s="182">
        <f t="shared" si="3"/>
        <v>737924.3192549221</v>
      </c>
      <c r="T75" s="182">
        <f t="shared" si="3"/>
        <v>760062.04883256974</v>
      </c>
      <c r="U75" s="182">
        <f t="shared" si="3"/>
        <v>782863.91029754688</v>
      </c>
      <c r="V75" s="182">
        <f t="shared" si="3"/>
        <v>806349.82760647335</v>
      </c>
      <c r="W75" s="182">
        <f t="shared" si="3"/>
        <v>830540.32243466761</v>
      </c>
      <c r="X75" s="182">
        <f t="shared" si="3"/>
        <v>855456.5321077077</v>
      </c>
      <c r="Y75" s="182">
        <f t="shared" si="3"/>
        <v>881120.22807093896</v>
      </c>
      <c r="Z75" s="182">
        <f t="shared" si="3"/>
        <v>907553.83491306717</v>
      </c>
      <c r="AA75" s="182">
        <f t="shared" si="3"/>
        <v>934780.44996045926</v>
      </c>
      <c r="AB75" s="182">
        <f t="shared" si="3"/>
        <v>962823.86345927301</v>
      </c>
      <c r="AC75" s="182">
        <f t="shared" si="3"/>
        <v>991708.57936305122</v>
      </c>
      <c r="AD75" s="182">
        <f t="shared" si="3"/>
        <v>1021459.8367439428</v>
      </c>
      <c r="AE75" s="19"/>
      <c r="AF75" s="19"/>
      <c r="AG75" s="19"/>
      <c r="AH75" s="19"/>
      <c r="AI75" s="19"/>
    </row>
    <row r="76" spans="1:35" x14ac:dyDescent="0.35">
      <c r="A76" s="1"/>
      <c r="C76" s="274" t="s">
        <v>33</v>
      </c>
      <c r="D76" s="274"/>
      <c r="E76" s="274"/>
      <c r="F76" s="20">
        <f>IF(
F75&gt;200000+N("If income is greater than 200k THEN"),
F75+N("He has no exemption, so AGI is his income")+N("If income is less than or equal to 200k THEN"),
IF(
F75&gt;F53+N("If income is greater than 150k but less than or equal to 200 k THEN"),
(F75*0.99)+N("AGI is 99 percent of income")+N("If his income is less than or equal to 150k THEN"),
IF(
F75&gt;F52+N("If his income is greater than 100k but less than or equal to 150k THEN"),
(F75*0.98)+N("AGI equals 98 percent of income")+N("If his income is less than or equal to 100k THEN"),
IF(
F75&gt;F51+N("IF income is greater than 68k but less than or equal to 100k THEN"),
(F75*0.97)+N("AGI equals 97 percent of income")+N("If income less than or equal to 68k, THEN"),
(F75*0.96)+N("AGI equals 96 percent of income")))))</f>
        <v>77600</v>
      </c>
      <c r="G76" s="20">
        <f t="shared" ref="G76:AD76" si="4">IF(
G75&gt;200000+N("If income is greater than 200k THEN"),
G75+N("He has no exemption, so AGI is his income")+N("If income is less than or equal to 200k THEN"),
IF(
G75&gt;G53+N("If income is greater than 150k but less than or equal to 200 k THEN"),
(G75*0.99)+N("AGI is 99 percent of income")+N("If his income is less than or equal to 150k THEN"),
IF(
G75&gt;G52+N("If his income is greater than 100k but less than or equal to 150k THEN"),
(G75*0.98)+N("AGI equals 98 percent of income")+N("If his income is less than or equal to 100k THEN"),
IF(
G75&gt;G51+N("IF income is greater than 68k but less than or equal to 100k THEN"),
(G75*0.97)+N("AGI equals 97 percent of income")+N("If income less than or equal to 68k, THEN"),
(G75*0.96)+N("AGI equals 96 percent of income")))))</f>
        <v>102900</v>
      </c>
      <c r="H76" s="20">
        <f t="shared" si="4"/>
        <v>176220</v>
      </c>
      <c r="I76" s="20">
        <f t="shared" si="4"/>
        <v>350000</v>
      </c>
      <c r="J76" s="20">
        <f t="shared" si="4"/>
        <v>360500</v>
      </c>
      <c r="K76" s="20">
        <f t="shared" si="4"/>
        <v>371315</v>
      </c>
      <c r="L76" s="20">
        <f t="shared" si="4"/>
        <v>600000</v>
      </c>
      <c r="M76" s="20">
        <f t="shared" si="4"/>
        <v>618000</v>
      </c>
      <c r="N76" s="20">
        <f t="shared" si="4"/>
        <v>636540</v>
      </c>
      <c r="O76" s="20">
        <f t="shared" si="4"/>
        <v>655636.20000000007</v>
      </c>
      <c r="P76" s="20">
        <f t="shared" si="4"/>
        <v>675305.28600000008</v>
      </c>
      <c r="Q76" s="20">
        <f t="shared" si="4"/>
        <v>695564.44458000013</v>
      </c>
      <c r="R76" s="20">
        <f t="shared" si="4"/>
        <v>716431.3779174001</v>
      </c>
      <c r="S76" s="20">
        <f t="shared" si="4"/>
        <v>737924.3192549221</v>
      </c>
      <c r="T76" s="20">
        <f t="shared" si="4"/>
        <v>760062.04883256974</v>
      </c>
      <c r="U76" s="20">
        <f t="shared" si="4"/>
        <v>782863.91029754688</v>
      </c>
      <c r="V76" s="20">
        <f t="shared" si="4"/>
        <v>806349.82760647335</v>
      </c>
      <c r="W76" s="20">
        <f t="shared" si="4"/>
        <v>830540.32243466761</v>
      </c>
      <c r="X76" s="20">
        <f t="shared" si="4"/>
        <v>855456.5321077077</v>
      </c>
      <c r="Y76" s="20">
        <f t="shared" si="4"/>
        <v>881120.22807093896</v>
      </c>
      <c r="Z76" s="20">
        <f t="shared" si="4"/>
        <v>907553.83491306717</v>
      </c>
      <c r="AA76" s="20">
        <f t="shared" si="4"/>
        <v>934780.44996045926</v>
      </c>
      <c r="AB76" s="20">
        <f t="shared" si="4"/>
        <v>962823.86345927301</v>
      </c>
      <c r="AC76" s="20">
        <f t="shared" si="4"/>
        <v>991708.57936305122</v>
      </c>
      <c r="AD76" s="20">
        <f t="shared" si="4"/>
        <v>1021459.8367439428</v>
      </c>
      <c r="AE76" s="20"/>
      <c r="AF76" s="20"/>
      <c r="AG76" s="20"/>
      <c r="AH76" s="20"/>
      <c r="AI76" s="20"/>
    </row>
    <row r="77" spans="1:35" hidden="1" x14ac:dyDescent="0.35">
      <c r="B77" s="85" t="s">
        <v>44</v>
      </c>
      <c r="C77" s="86"/>
      <c r="D77" s="90"/>
      <c r="F77" s="19">
        <f t="shared" ref="F77:AD77" si="5">(F78+(F74*F79))*1.5</f>
        <v>17655</v>
      </c>
      <c r="G77" s="19">
        <f t="shared" si="5"/>
        <v>18098.140500000001</v>
      </c>
      <c r="H77" s="19">
        <f t="shared" si="5"/>
        <v>18552.403826549998</v>
      </c>
      <c r="I77" s="19">
        <f t="shared" si="5"/>
        <v>19018.069162596403</v>
      </c>
      <c r="J77" s="19">
        <f t="shared" si="5"/>
        <v>19495.422698577571</v>
      </c>
      <c r="K77" s="19">
        <f t="shared" si="5"/>
        <v>19984.757808311864</v>
      </c>
      <c r="L77" s="19">
        <f t="shared" si="5"/>
        <v>20486.375229300491</v>
      </c>
      <c r="M77" s="19">
        <f t="shared" si="5"/>
        <v>21000.583247555929</v>
      </c>
      <c r="N77" s="19">
        <f t="shared" si="5"/>
        <v>21527.697887069582</v>
      </c>
      <c r="O77" s="19">
        <f t="shared" si="5"/>
        <v>22068.043104035027</v>
      </c>
      <c r="P77" s="19">
        <f t="shared" si="5"/>
        <v>22621.950985946303</v>
      </c>
      <c r="Q77" s="19">
        <f t="shared" si="5"/>
        <v>23189.761955693553</v>
      </c>
      <c r="R77" s="19">
        <f t="shared" si="5"/>
        <v>23771.824980781457</v>
      </c>
      <c r="S77" s="19">
        <f t="shared" si="5"/>
        <v>24368.497787799068</v>
      </c>
      <c r="T77" s="19">
        <f t="shared" si="5"/>
        <v>24980.147082272822</v>
      </c>
      <c r="U77" s="19">
        <f t="shared" si="5"/>
        <v>25607.148774037865</v>
      </c>
      <c r="V77" s="19">
        <f t="shared" si="5"/>
        <v>26249.888208266217</v>
      </c>
      <c r="W77" s="19">
        <f t="shared" si="5"/>
        <v>26908.760402293698</v>
      </c>
      <c r="X77" s="19">
        <f t="shared" si="5"/>
        <v>27584.170288391266</v>
      </c>
      <c r="Y77" s="19">
        <f t="shared" si="5"/>
        <v>28276.532962629881</v>
      </c>
      <c r="Z77" s="19">
        <f t="shared" si="5"/>
        <v>28986.273939991886</v>
      </c>
      <c r="AA77" s="19">
        <f t="shared" si="5"/>
        <v>29713.829415885681</v>
      </c>
      <c r="AB77" s="19">
        <f t="shared" si="5"/>
        <v>30459.646534224408</v>
      </c>
      <c r="AC77" s="19">
        <f t="shared" si="5"/>
        <v>31224.183662233438</v>
      </c>
      <c r="AD77" s="19">
        <f t="shared" si="5"/>
        <v>32007.910672155493</v>
      </c>
      <c r="AE77" s="19"/>
      <c r="AF77" s="19"/>
      <c r="AG77" s="19"/>
      <c r="AH77" s="19"/>
      <c r="AI77" s="19"/>
    </row>
    <row r="78" spans="1:35" hidden="1" x14ac:dyDescent="0.35">
      <c r="B78" s="91" t="s">
        <v>46</v>
      </c>
      <c r="D78" s="92">
        <v>11770</v>
      </c>
      <c r="F78" s="19">
        <f>D78</f>
        <v>11770</v>
      </c>
      <c r="G78" s="19">
        <f>F78*1.0251</f>
        <v>12065.427</v>
      </c>
      <c r="H78" s="19">
        <f t="shared" ref="H78:AD78" si="6">G78*1.0251</f>
        <v>12368.269217699999</v>
      </c>
      <c r="I78" s="19">
        <f t="shared" si="6"/>
        <v>12678.712775064268</v>
      </c>
      <c r="J78" s="19">
        <f t="shared" si="6"/>
        <v>12996.94846571838</v>
      </c>
      <c r="K78" s="19">
        <f t="shared" si="6"/>
        <v>13323.171872207909</v>
      </c>
      <c r="L78" s="19">
        <f t="shared" si="6"/>
        <v>13657.583486200327</v>
      </c>
      <c r="M78" s="19">
        <f t="shared" si="6"/>
        <v>14000.388831703953</v>
      </c>
      <c r="N78" s="19">
        <f t="shared" si="6"/>
        <v>14351.79859137972</v>
      </c>
      <c r="O78" s="19">
        <f t="shared" si="6"/>
        <v>14712.028736023351</v>
      </c>
      <c r="P78" s="19">
        <f t="shared" si="6"/>
        <v>15081.300657297536</v>
      </c>
      <c r="Q78" s="19">
        <f t="shared" si="6"/>
        <v>15459.841303795702</v>
      </c>
      <c r="R78" s="19">
        <f t="shared" si="6"/>
        <v>15847.883320520972</v>
      </c>
      <c r="S78" s="19">
        <f t="shared" si="6"/>
        <v>16245.665191866046</v>
      </c>
      <c r="T78" s="19">
        <f t="shared" si="6"/>
        <v>16653.431388181882</v>
      </c>
      <c r="U78" s="19">
        <f t="shared" si="6"/>
        <v>17071.432516025245</v>
      </c>
      <c r="V78" s="19">
        <f t="shared" si="6"/>
        <v>17499.925472177478</v>
      </c>
      <c r="W78" s="19">
        <f t="shared" si="6"/>
        <v>17939.173601529132</v>
      </c>
      <c r="X78" s="19">
        <f t="shared" si="6"/>
        <v>18389.446858927509</v>
      </c>
      <c r="Y78" s="19">
        <f t="shared" si="6"/>
        <v>18851.021975086587</v>
      </c>
      <c r="Z78" s="19">
        <f t="shared" si="6"/>
        <v>19324.182626661259</v>
      </c>
      <c r="AA78" s="19">
        <f t="shared" si="6"/>
        <v>19809.219610590455</v>
      </c>
      <c r="AB78" s="19">
        <f t="shared" si="6"/>
        <v>20306.431022816272</v>
      </c>
      <c r="AC78" s="19">
        <f t="shared" si="6"/>
        <v>20816.122441488958</v>
      </c>
      <c r="AD78" s="19">
        <f t="shared" si="6"/>
        <v>21338.60711477033</v>
      </c>
      <c r="AE78" s="19"/>
      <c r="AF78" s="19"/>
      <c r="AG78" s="19"/>
      <c r="AH78" s="19"/>
      <c r="AI78" s="19"/>
    </row>
    <row r="79" spans="1:35" ht="16" hidden="1" thickBot="1" x14ac:dyDescent="0.4">
      <c r="B79" s="88" t="s">
        <v>45</v>
      </c>
      <c r="C79" s="89"/>
      <c r="D79" s="93">
        <v>4160</v>
      </c>
      <c r="F79" s="19">
        <f>D79</f>
        <v>4160</v>
      </c>
      <c r="G79" s="19">
        <f>F79*1.0258</f>
        <v>4267.3280000000004</v>
      </c>
      <c r="H79" s="19">
        <f t="shared" ref="H79:AD79" si="7">G79*1.0258</f>
        <v>4377.4250624000006</v>
      </c>
      <c r="I79" s="19">
        <f t="shared" si="7"/>
        <v>4490.362629009921</v>
      </c>
      <c r="J79" s="19">
        <f t="shared" si="7"/>
        <v>4606.2139848383767</v>
      </c>
      <c r="K79" s="19">
        <f t="shared" si="7"/>
        <v>4725.054305647207</v>
      </c>
      <c r="L79" s="19">
        <f t="shared" si="7"/>
        <v>4846.9607067329052</v>
      </c>
      <c r="M79" s="19">
        <f t="shared" si="7"/>
        <v>4972.012292966614</v>
      </c>
      <c r="N79" s="19">
        <f t="shared" si="7"/>
        <v>5100.290210125153</v>
      </c>
      <c r="O79" s="19">
        <f t="shared" si="7"/>
        <v>5231.8776975463825</v>
      </c>
      <c r="P79" s="19">
        <f t="shared" si="7"/>
        <v>5366.8601421430794</v>
      </c>
      <c r="Q79" s="19">
        <f t="shared" si="7"/>
        <v>5505.325133810371</v>
      </c>
      <c r="R79" s="19">
        <f t="shared" si="7"/>
        <v>5647.3625222626788</v>
      </c>
      <c r="S79" s="19">
        <f t="shared" si="7"/>
        <v>5793.0644753370561</v>
      </c>
      <c r="T79" s="19">
        <f t="shared" si="7"/>
        <v>5942.5255388007527</v>
      </c>
      <c r="U79" s="19">
        <f t="shared" si="7"/>
        <v>6095.8426977018125</v>
      </c>
      <c r="V79" s="19">
        <f t="shared" si="7"/>
        <v>6253.1154393025199</v>
      </c>
      <c r="W79" s="19">
        <f t="shared" si="7"/>
        <v>6414.4458176365251</v>
      </c>
      <c r="X79" s="19">
        <f t="shared" si="7"/>
        <v>6579.9385197315478</v>
      </c>
      <c r="Y79" s="19">
        <f t="shared" si="7"/>
        <v>6749.7009335406219</v>
      </c>
      <c r="Z79" s="19">
        <f t="shared" si="7"/>
        <v>6923.8432176259703</v>
      </c>
      <c r="AA79" s="19">
        <f t="shared" si="7"/>
        <v>7102.4783726407204</v>
      </c>
      <c r="AB79" s="19">
        <f t="shared" si="7"/>
        <v>7285.7223146548513</v>
      </c>
      <c r="AC79" s="19">
        <f t="shared" si="7"/>
        <v>7473.6939503729463</v>
      </c>
      <c r="AD79" s="19">
        <f t="shared" si="7"/>
        <v>7666.5152542925689</v>
      </c>
      <c r="AE79" s="19"/>
      <c r="AF79" s="19"/>
      <c r="AG79" s="19"/>
      <c r="AH79" s="19"/>
      <c r="AI79" s="19"/>
    </row>
    <row r="80" spans="1:35" hidden="1" x14ac:dyDescent="0.35">
      <c r="B80" s="85" t="s">
        <v>4</v>
      </c>
      <c r="C80" s="86"/>
      <c r="D80" s="87">
        <f>C7</f>
        <v>7.6294230088091136E-2</v>
      </c>
      <c r="E80" s="30"/>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row>
    <row r="81" spans="1:35" ht="16" hidden="1" thickBot="1" x14ac:dyDescent="0.4">
      <c r="B81" s="91" t="s">
        <v>5</v>
      </c>
      <c r="D81" s="94">
        <f>F109*12</f>
        <v>75228.125237483313</v>
      </c>
      <c r="E81" s="45"/>
      <c r="G81" s="19"/>
      <c r="H81" s="19"/>
      <c r="I81" s="19"/>
      <c r="J81" s="19"/>
      <c r="K81" s="19"/>
      <c r="L81" s="19"/>
      <c r="M81" s="19"/>
      <c r="N81" s="19"/>
      <c r="O81" s="19"/>
      <c r="P81" s="19"/>
      <c r="Q81" s="19"/>
      <c r="R81" s="19"/>
      <c r="S81" s="19"/>
      <c r="T81" s="19"/>
      <c r="U81" s="19"/>
      <c r="V81" s="19"/>
      <c r="W81" s="19"/>
      <c r="X81" s="19"/>
      <c r="Y81" s="19"/>
      <c r="Z81" s="19"/>
      <c r="AA81" s="19"/>
      <c r="AB81" s="19"/>
      <c r="AC81" s="19"/>
      <c r="AD81" s="19"/>
    </row>
    <row r="82" spans="1:35" hidden="1" x14ac:dyDescent="0.35">
      <c r="A82" s="1"/>
      <c r="B82" s="85"/>
      <c r="C82" s="86"/>
      <c r="D82" s="86"/>
      <c r="E82" s="95" t="s">
        <v>91</v>
      </c>
      <c r="F82" s="19">
        <f>F96*12</f>
        <v>8991.75</v>
      </c>
      <c r="G82" s="19">
        <f>IF(
F85=0+N("If the preceding year's loan balance is zero then"),
0+N("the current IBR payment is zero")+N("If the condition is not met then"),
IF(
AND(
G85=0+N("If this year's loan balance will be zero AND"),
I85=0+N("two year's from now it will be zero, then")),
F85+N("this is the last year of payment, and therefore the total payment made this year will simply be the remaining loan balance from last year")+N("If not then"),
G96*12+N("The monthly IBR payment multiplied by twelve")))</f>
        <v>12720.278924999999</v>
      </c>
      <c r="H82" s="19">
        <f>IF(
G85=0+N("If the preceding year's loan balance is zero then"),
0+N("the current IBR payment is zero")+N("If the condition is not met then"),
IF(
AND(
H85=0+N("If this year's loan balance will be zero AND"),
J85=0+N("two year's from now it will be zero, then")),
G85+N("this is the last year of payment, and therefore the total payment made this year will simply be the remaining loan balance from last year")+N("If not then"),
H96*12+N("The monthly IBR payment multiplied by twelve")))</f>
        <v>23650.1394260175</v>
      </c>
      <c r="I82" s="19">
        <f>IF(
H85=0+N("If the preceding year's loan balance is zero then"),
0+N("the current IBR payment is zero")+N("If the condition is not met then"),
IF(
AND(
I85=0+N("If this year's loan balance will be zero AND"),
K85=0+N("two year's from now it will be zero, then")),
H85+N("this is the last year of payment, and therefore the total payment made this year will simply be the remaining loan balance from last year")+N("If not then"),
I96*12+N("The monthly IBR payment multiplied by twelve")))</f>
        <v>49647.28962561053</v>
      </c>
      <c r="J82" s="19">
        <f t="shared" ref="J82:Y82" si="8">IF(
I85=0+N("If the preceding year's loan balance is zero then"),
0+N("the current IBR payment is zero")+N("If the condition is not met then"),
IF(
AND(
J85=0+N("If this year's loan balance will be zero AND"),
L85=0+N("two year's from now it will be zero, then")),
I85+N("this is the last year of payment, and therefore the total payment made this year will simply be the remaining loan balance from last year")+N("If not then"),
J96*12+N("The monthly IBR payment multiplied by twelve")))</f>
        <v>51150.686595213359</v>
      </c>
      <c r="K82" s="19">
        <f t="shared" si="8"/>
        <v>52699.536328753224</v>
      </c>
      <c r="L82" s="19">
        <f t="shared" si="8"/>
        <v>75228.125237483313</v>
      </c>
      <c r="M82" s="19">
        <f t="shared" si="8"/>
        <v>75228.125237483313</v>
      </c>
      <c r="N82" s="19">
        <f t="shared" si="8"/>
        <v>75228.125237483313</v>
      </c>
      <c r="O82" s="19">
        <f t="shared" si="8"/>
        <v>75228.125237483313</v>
      </c>
      <c r="P82" s="19">
        <f t="shared" si="8"/>
        <v>75228.125237483313</v>
      </c>
      <c r="Q82" s="19">
        <f t="shared" si="8"/>
        <v>75228.125237483313</v>
      </c>
      <c r="R82" s="19">
        <f t="shared" si="8"/>
        <v>75228.125237483313</v>
      </c>
      <c r="S82" s="19">
        <f t="shared" si="8"/>
        <v>75228.125237483313</v>
      </c>
      <c r="T82" s="19">
        <f t="shared" si="8"/>
        <v>75228.125237483313</v>
      </c>
      <c r="U82" s="19">
        <f t="shared" si="8"/>
        <v>75228.125237483313</v>
      </c>
      <c r="V82" s="19">
        <f t="shared" si="8"/>
        <v>75228.125237483313</v>
      </c>
      <c r="W82" s="19">
        <f t="shared" si="8"/>
        <v>25534.660384845716</v>
      </c>
      <c r="X82" s="19">
        <f t="shared" si="8"/>
        <v>0</v>
      </c>
      <c r="Y82" s="19">
        <f t="shared" si="8"/>
        <v>0</v>
      </c>
      <c r="Z82" s="19">
        <f>IF(
$C$11=0.1+N("If the interest rate is ten percent, THEN"),
0+N("The annual IBR payment is zero because the loan have been forgiven")+N("If that condition is not met THEN"),
IF(
Y85=0+N("If the preceding year's loan balance is zero then"),
0+N("the current IBR payment is zero")+N("If the condition is not met then"),
IF(
AND(
Z85=0+N("If this year's loan balance will be zero AND"),
AB85=0+N("two year's from now it will be zero, then")),
Y85+N("this is the last year of payment, and therefore the total payment made this year will simply be the remaining loan balance from last year")+N("If not then"),
Z96*12+N("The monthly IBR payment multiplied by twelve"))))</f>
        <v>0</v>
      </c>
      <c r="AA82" s="19">
        <f>IF(
$C$11=0.1+N("If the interest rate is ten percent, THEN"),
0+N("The annual IBR payment is zero because the loan have been forgiven")+N("If that condition is not met THEN"),
IF(
Z85=0+N("If the preceding year's loan balance is zero then"),
0+N("the current IBR payment is zero")+N("If the condition is not met then"),
IF(
AND(
AA85=0+N("If this year's loan balance will be zero AND"),
AC85=0+N("two year's from now it will be zero, then")),
Z85+N("this is the last year of payment, and therefore the total payment made this year will simply be the remaining loan balance from last year")+N("If not then"),
AA96*12+N("The monthly IBR payment multiplied by twelve"))))</f>
        <v>0</v>
      </c>
      <c r="AB82" s="19">
        <f>IF(
$C$11=0.1+N("If the interest rate is ten percent, THEN"),
0+N("The annual IBR payment is zero because the loan have been forgiven")+N("If that condition is not met THEN"),
IF(
AA85=0+N("If the preceding year's loan balance is zero then"),
0+N("the current IBR payment is zero")+N("If the condition is not met then"),
IF(
AND(
AB85=0+N("If this year's loan balance will be zero AND"),
AD85=0+N("two year's from now it will be zero, then")),
AA85+N("this is the last year of payment, and therefore the total payment made this year will simply be the remaining loan balance from last year")+N("If not then"),
AB96*12+N("The monthly IBR payment multiplied by twelve"))))</f>
        <v>0</v>
      </c>
      <c r="AC82" s="19">
        <f>IF(
$C$11=0.1+N("If the interest rate is ten percent, THEN"),
0+N("The annual IBR payment is zero because the loan have been forgiven")+N("If that condition is not met THEN"),
IF(
AB85=0+N("If the preceding year's loan balance is zero then"),
0+N("the current IBR payment is zero")+N("If the condition is not met then"),
IF(
AND(
AC85=0+N("If this year's loan balance will be zero AND"),
AE85=0+N("two year's from now it will be zero, then")),
AB85+N("this is the last year of payment, and therefore the total payment made this year will simply be the remaining loan balance from last year")+N("If not then"),
AC96*12+N("The monthly IBR payment multiplied by twelve"))))</f>
        <v>0</v>
      </c>
      <c r="AD82" s="19">
        <f>IF($C$11=0.1,0,IF(AC85=0,0,IF(AND(AD85=0,AF85=0),AC85,AD96*12)))</f>
        <v>0</v>
      </c>
      <c r="AE82" s="19"/>
      <c r="AF82" s="19"/>
      <c r="AG82" s="19"/>
      <c r="AH82" s="19"/>
      <c r="AI82" s="19"/>
    </row>
    <row r="83" spans="1:35" hidden="1" x14ac:dyDescent="0.35">
      <c r="A83" s="1"/>
      <c r="B83" s="91"/>
      <c r="E83" s="96" t="s">
        <v>52</v>
      </c>
      <c r="F83" s="19">
        <f>D85*C7</f>
        <v>40064.999400000001</v>
      </c>
      <c r="G83" s="19">
        <f t="shared" ref="G83:AD83" si="9">IF(
F96=$F$109+N("If the IBR monthly payment equals the standard monhtly payment, then"),
F85*$C$7+N("The annual interest rate is the previous year's loan principal multiplied by the interest rate")+N("If the condition was not met then..."),
IF(
F84&gt;0+N("IF the student negatively amortized the previous year, then"),
$D$85*$C$7+N("Annual interest is the original loan balance multiplied by the interest rate")+N("If they made a principal payment in the previous year then..."),
F85*$C$7+N("Since the previous year's loan balance must be lower tahn the original loan balance, the annual interest is the previous year's loan balance multiplied by the interest rate")))</f>
        <v>40064.999400000001</v>
      </c>
      <c r="H83" s="19">
        <f t="shared" si="9"/>
        <v>40064.999400000001</v>
      </c>
      <c r="I83" s="19">
        <f t="shared" si="9"/>
        <v>40064.999400000001</v>
      </c>
      <c r="J83" s="19">
        <f t="shared" si="9"/>
        <v>40064.999400000001</v>
      </c>
      <c r="K83" s="19">
        <f t="shared" si="9"/>
        <v>40064.999400000001</v>
      </c>
      <c r="L83" s="19">
        <f t="shared" si="9"/>
        <v>40064.999400000001</v>
      </c>
      <c r="M83" s="19">
        <f t="shared" si="9"/>
        <v>40098.363078429145</v>
      </c>
      <c r="N83" s="19">
        <f t="shared" si="9"/>
        <v>37418.164921326352</v>
      </c>
      <c r="O83" s="19">
        <f t="shared" si="9"/>
        <v>34533.483109343877</v>
      </c>
      <c r="P83" s="19">
        <f t="shared" si="9"/>
        <v>31428.716719467076</v>
      </c>
      <c r="Q83" s="19">
        <f t="shared" si="9"/>
        <v>28087.074568271248</v>
      </c>
      <c r="R83" s="19">
        <f t="shared" si="9"/>
        <v>24490.484401920021</v>
      </c>
      <c r="S83" s="19">
        <f t="shared" si="9"/>
        <v>20619.495157884627</v>
      </c>
      <c r="T83" s="19">
        <f t="shared" si="9"/>
        <v>16453.171769796267</v>
      </c>
      <c r="U83" s="19">
        <f t="shared" si="9"/>
        <v>11968.981946515702</v>
      </c>
      <c r="V83" s="19">
        <f t="shared" si="9"/>
        <v>7142.6743130990917</v>
      </c>
      <c r="W83" s="19">
        <f t="shared" si="9"/>
        <v>1948.1472546226848</v>
      </c>
      <c r="X83" s="19">
        <f t="shared" si="9"/>
        <v>0</v>
      </c>
      <c r="Y83" s="19">
        <f t="shared" si="9"/>
        <v>0</v>
      </c>
      <c r="Z83" s="19">
        <f t="shared" si="9"/>
        <v>0</v>
      </c>
      <c r="AA83" s="19">
        <f t="shared" si="9"/>
        <v>0</v>
      </c>
      <c r="AB83" s="19">
        <f t="shared" si="9"/>
        <v>0</v>
      </c>
      <c r="AC83" s="19">
        <f t="shared" si="9"/>
        <v>0</v>
      </c>
      <c r="AD83" s="19">
        <f t="shared" si="9"/>
        <v>0</v>
      </c>
      <c r="AE83" s="19"/>
      <c r="AF83" s="19"/>
      <c r="AG83" s="19"/>
      <c r="AH83" s="19"/>
      <c r="AI83" s="19"/>
    </row>
    <row r="84" spans="1:35" hidden="1" x14ac:dyDescent="0.35">
      <c r="A84" s="1"/>
      <c r="B84" s="91"/>
      <c r="E84" s="96" t="s">
        <v>7</v>
      </c>
      <c r="F84" s="14">
        <f>($C$22*$C$7)-((F96*12)*C28)+N("CNAPP equals the annual interest on unsubs minus the the percentage of the annual IBR payment that would be put towards unsubs")</f>
        <v>27563.072454308014</v>
      </c>
      <c r="G84" s="14">
        <f>IF(
F84=-$C$6+N("IF the principal payment from the previous year equals the original loan balance then"),
0+N("The CAN/PP euals zero, because you have paid of the loan")+N("if CAN/PP does not equal the original loan balance, then..."),
IF(
$C$7=0+N("If the interest rate is zero, then"),
(-(G96*12))+F84+N("CNAPP equals the last year's CNAPP minus whatever the annual IBR payment was")+N("If the interest rate is not zero, then..."),
IF(
G83=0+N("If the annual interest paid equals zero, then..."),
0+N("CNAPP equals zero")+N("If the annual interest rate does not equal zero, then..."),
(($C$22*$C$7)-((G96*12)*$C$28))+F84+N("CNAPP equals the previous CNAPP plus the annual interest on unsubs minus the the percentage of the annual IBR payment that would be put towards unsubs"))))</f>
        <v>51818.807733001624</v>
      </c>
      <c r="H84" s="14">
        <f>IF(
G84=-$C$6+N("IF the principal payment from the previous year equals the original loan balance then"),
0+N("The CAN/PP euals zero, because you have paid of the loan")+N("if CAN/PP does not equal the original loan balance, then..."),
IF(
$C$7=0+N("If the interest rate is zero, then"),
(-(H96*12))+G84+N("CNAPP equals the last year's CNAPP minus whatever the annual IBR payment was")+N("If the interest rate is not zero, then..."),
IF(
H83=0+N("If the annual interest paid equals zero, then..."),
0+N("CNAPP equals zero")+N("If the annual interest rate does not equal zero, then..."),
(($C$22*$C$7)-((H96*12)*$C$28))+G84+N("CNAPP equals the previous CNAPP plus the annual interest on unsubs minus the the percentage of the annual IBR payment that would be put towards unsubs"))))</f>
        <v>66379.369744588359</v>
      </c>
      <c r="I84" s="14">
        <f t="shared" ref="I84:AD84" si="10">IF(
H84=-$C6+N("IF the principal payment from the previous year equals the original loan balance then"),
0+N("The CAN/PP euals zero, because you have paid of the loan")+N("if CAN/PP does not equal the original loan balance, then..."),
IF(
$C7=0+N("If the interest rate is zero, then"),
(-(I96*12))+H84+N("CNAPP equals the last year's CNAPP minus whatever the annual IBR payment was")+N("If the interest rate is not zero, then..."),
IF(
I83=0+N("If the annual interest paid equals zero, then..."),
0+N("CNAPP equals zero")+N("If the annual interest rate does not equal zero, then..."),
I83-(I96*12)+H84+N("CNAPP equals the previous CNAPP plus the annual interest minus the annual IBR payment"))))</f>
        <v>56797.079518977829</v>
      </c>
      <c r="J84" s="14">
        <f t="shared" si="10"/>
        <v>45711.39232376447</v>
      </c>
      <c r="K84" s="14">
        <f t="shared" si="10"/>
        <v>33076.855395011247</v>
      </c>
      <c r="L84" s="14">
        <f t="shared" si="10"/>
        <v>-2086.270442472065</v>
      </c>
      <c r="M84" s="14">
        <f t="shared" si="10"/>
        <v>-37216.032601526233</v>
      </c>
      <c r="N84" s="14">
        <f t="shared" si="10"/>
        <v>-75025.992917683194</v>
      </c>
      <c r="O84" s="14">
        <f t="shared" si="10"/>
        <v>-115720.63504582262</v>
      </c>
      <c r="P84" s="14">
        <f t="shared" si="10"/>
        <v>-159520.04356383887</v>
      </c>
      <c r="Q84" s="222">
        <f t="shared" si="10"/>
        <v>-206661.09423305094</v>
      </c>
      <c r="R84" s="222">
        <f t="shared" si="10"/>
        <v>-257398.73506861425</v>
      </c>
      <c r="S84" s="222">
        <f t="shared" si="10"/>
        <v>-312007.36514821294</v>
      </c>
      <c r="T84" s="222">
        <f t="shared" si="10"/>
        <v>-370782.3186159</v>
      </c>
      <c r="U84" s="222">
        <f t="shared" si="10"/>
        <v>-434041.46190686763</v>
      </c>
      <c r="V84" s="195">
        <f t="shared" si="10"/>
        <v>-502126.91283125186</v>
      </c>
      <c r="W84" s="195">
        <f t="shared" si="10"/>
        <v>-575406.8908141125</v>
      </c>
      <c r="X84" s="14">
        <f t="shared" si="10"/>
        <v>0</v>
      </c>
      <c r="Y84" s="195">
        <f t="shared" si="10"/>
        <v>0</v>
      </c>
      <c r="Z84" s="14">
        <f t="shared" si="10"/>
        <v>0</v>
      </c>
      <c r="AA84" s="195">
        <f t="shared" si="10"/>
        <v>0</v>
      </c>
      <c r="AB84" s="195">
        <f t="shared" si="10"/>
        <v>0</v>
      </c>
      <c r="AC84" s="14">
        <f t="shared" si="10"/>
        <v>0</v>
      </c>
      <c r="AD84" s="14">
        <f t="shared" si="10"/>
        <v>0</v>
      </c>
      <c r="AE84" s="14"/>
      <c r="AF84" s="14"/>
      <c r="AG84" s="14"/>
      <c r="AH84" s="14"/>
      <c r="AI84" s="14"/>
    </row>
    <row r="85" spans="1:35" ht="16" hidden="1" thickBot="1" x14ac:dyDescent="0.4">
      <c r="A85" s="1"/>
      <c r="B85" s="88" t="s">
        <v>8</v>
      </c>
      <c r="C85" s="89"/>
      <c r="D85" s="97">
        <f>C6</f>
        <v>525138</v>
      </c>
      <c r="E85" s="98" t="s">
        <v>53</v>
      </c>
      <c r="F85" s="14">
        <f>$C$6+F84</f>
        <v>552701.07245430804</v>
      </c>
      <c r="G85" s="14">
        <f t="shared" ref="G85:X85" si="11">IF(
OR(
F85&lt;=0+N("If either the loan balance from the preceding year is less than or equal to zero OR"),
AND(
$C7=0+N("if the interest rate is zero AND"),
(F85-(F96*12))&lt;0+N("The loan balance is less than the annual IBR payment then"))),
0+N("the loan balance equals zero, if these conditions were not satisfied then"),
IF(
($C6+G84)&lt;0+N("If the principal payment is greaterthan the original loan balance then"),
0+N("the loan balance is zero")+N("If not, then"),
IF(
(G121*$C$11)/12&gt;=$C$109+N("If the IBR payment is greater than or equal to the standard payment then"),
(F85*(1+$C$7))-(G96*12)+N("the previous loan balance plus interest minus the annual IBR payment is the new loan balance")+N("If the condition is false then"),
($C6+G84)+N("the new loan balance is the original minus the principal or plus the negative amortization (the plus sign is in the formula because negative amortization is postitive and principal payment is negative in the spreadsheet"))))</f>
        <v>576956.80773300165</v>
      </c>
      <c r="H85" s="14">
        <f t="shared" si="11"/>
        <v>591517.36974458839</v>
      </c>
      <c r="I85" s="14">
        <f t="shared" si="11"/>
        <v>581935.07951897779</v>
      </c>
      <c r="J85" s="14">
        <f t="shared" si="11"/>
        <v>570849.39232376451</v>
      </c>
      <c r="K85" s="14">
        <f t="shared" si="11"/>
        <v>558214.85539501125</v>
      </c>
      <c r="L85" s="14">
        <f t="shared" si="11"/>
        <v>525575.30277362547</v>
      </c>
      <c r="M85" s="14">
        <f t="shared" si="11"/>
        <v>490445.54061457131</v>
      </c>
      <c r="N85" s="14">
        <f t="shared" si="11"/>
        <v>452635.58029841434</v>
      </c>
      <c r="O85" s="14">
        <f t="shared" si="11"/>
        <v>411940.93817027489</v>
      </c>
      <c r="P85" s="14">
        <f t="shared" si="11"/>
        <v>368141.52965225867</v>
      </c>
      <c r="Q85" s="222">
        <f t="shared" si="11"/>
        <v>321000.4789830466</v>
      </c>
      <c r="R85" s="222">
        <f t="shared" si="11"/>
        <v>270262.8381474833</v>
      </c>
      <c r="S85" s="222">
        <f t="shared" si="11"/>
        <v>215654.20806788461</v>
      </c>
      <c r="T85" s="222">
        <f t="shared" si="11"/>
        <v>156879.25460019754</v>
      </c>
      <c r="U85" s="222">
        <f t="shared" si="11"/>
        <v>93620.111309229935</v>
      </c>
      <c r="V85" s="14">
        <f t="shared" si="11"/>
        <v>25534.660384845716</v>
      </c>
      <c r="W85" s="14">
        <f t="shared" si="11"/>
        <v>0</v>
      </c>
      <c r="X85" s="14">
        <f t="shared" si="11"/>
        <v>0</v>
      </c>
      <c r="Y85" s="14">
        <f t="shared" ref="Y85:AD85" si="12">IF(
OR(
X85&lt;=0+N("If either the loan balance from the preceding year is less than or equal to zero OR"),
AND(
Y73&gt;20+N("IT is later than teh 20th year AND"),
$C$11=0.1+N("Percentage as share is 10 percent OR")),
AND(
$C7=0+N("if the interest rate is zero AND"),
(X85-(X96*12))&lt;0+N("The loan balance is less than the annual IBR payment then"))),
0+N("the loan balance equals zero, if these conditions were not satisfied then"),
IF(
($C6+Y84)&lt;0+N("If the principal payment is greaterthan the original loan balance then"),
0+N("the loan balance is zero")+N("If not, then"),
IF(
(Y121*$C$11)/12&gt;=$C$109+N("If the IBR payment is greater than or equal to the standard payment then"),
(X85*(1+$C$7))-(Y96*12)+N("the previous loan balance plus interest minus the annual IBR payment is the new loan balance")+N("If the condition is false then"),
($C6+Y84)+N("the new loan balance is the original minus the principal or plus the negative amortization (the plus sign is in the formula because negative amortization is postitive and principal payment is negative in the spreadsheet"))))</f>
        <v>0</v>
      </c>
      <c r="Z85" s="14">
        <f t="shared" si="12"/>
        <v>0</v>
      </c>
      <c r="AA85" s="14">
        <f t="shared" si="12"/>
        <v>0</v>
      </c>
      <c r="AB85" s="14">
        <f t="shared" si="12"/>
        <v>0</v>
      </c>
      <c r="AC85" s="14">
        <f t="shared" si="12"/>
        <v>0</v>
      </c>
      <c r="AD85" s="14">
        <f t="shared" si="12"/>
        <v>0</v>
      </c>
      <c r="AE85" s="14"/>
      <c r="AF85" s="14"/>
      <c r="AG85" s="14"/>
      <c r="AH85" s="14"/>
      <c r="AI85" s="14"/>
    </row>
    <row r="86" spans="1:35" ht="16" hidden="1" thickBot="1" x14ac:dyDescent="0.4">
      <c r="A86" s="1"/>
      <c r="B86" s="2"/>
      <c r="D86" s="77"/>
      <c r="E86" s="77"/>
      <c r="Q86" s="222"/>
      <c r="R86" s="222"/>
      <c r="S86" s="222"/>
      <c r="T86" s="222"/>
      <c r="U86" s="222"/>
      <c r="AE86" s="9"/>
    </row>
    <row r="87" spans="1:35" hidden="1" x14ac:dyDescent="0.35">
      <c r="A87" s="1"/>
      <c r="B87" s="2"/>
      <c r="C87" s="99">
        <f>SUM(F87:Y87)</f>
        <v>1097858.6262202568</v>
      </c>
      <c r="D87" s="106"/>
      <c r="E87" s="95" t="s">
        <v>51</v>
      </c>
      <c r="F87" s="14">
        <f>F92*12</f>
        <v>5994.5</v>
      </c>
      <c r="G87" s="14">
        <f>IF(
F90=0+N("If the preceding year's loan balance is zero then"),
0+N("the current IBR payment is zero")+N("If the condition is not met then"),
IF(
AND(
G90=0+N("If this year's loan balance will be zero AND"),
I90=0+N("two year's from now it will be zero, then")),
F90+N("this is the last year of payment, and therefore the total payment made this year will simply be the remaining loan balance from last year")+N("If not then"),
G92*12+N("The monthly IBR payment multiplied by twelve")))</f>
        <v>8480.1859499999991</v>
      </c>
      <c r="H87" s="14">
        <f>IF(
G90=0+N("If the preceding year's loan balance is zero then"),
0+N("the current IBR payment is zero")+N("If the condition is not met then"),
IF(
AND(
H90=0+N("If this year's loan balance will be zero AND"),
J90=0+N("two year's from now it will be zero, then")),
G90+N("this is the last year of payment, and therefore the total payment made this year will simply be the remaining loan balance from last year")+N("If not then"),
H92*12+N("The monthly IBR payment multiplied by twelve")))</f>
        <v>15766.759617345</v>
      </c>
      <c r="I87" s="14">
        <f>IF(
H90=0+N("If the preceding year's loan balance is zero then"),
0+N("the current IBR payment is zero")+N("If the condition is not met then"),
IF(
AND(
I90=0+N("If this year's loan balance will be zero AND"),
K90=0+N("two year's from now it will be zero, then")),
H90+N("this is the last year of payment, and therefore the total payment made this year will simply be the remaining loan balance from last year")+N("If not then"),
I92*12+N("The monthly IBR payment multiplied by twelve")))</f>
        <v>33098.193083740356</v>
      </c>
      <c r="J87" s="14">
        <f t="shared" ref="J87:AD87" si="13">IF(
I90=0+N("If the preceding year's loan balance is zero then"),
0+N("the current IBR payment is zero")+N("If the condition is not met then"),
IF(
AND(
J90=0+N("If this year's loan balance will be zero AND"),
L90=0+N("two year's from now it will be zero, then")),
I90+N("this is the last year of payment, and therefore the total payment made this year will simply be the remaining loan balance from last year")+N("If not then"),
J92*12+N("The monthly IBR payment multiplied by twelve")))</f>
        <v>34100.457730142247</v>
      </c>
      <c r="K87" s="14">
        <f t="shared" si="13"/>
        <v>35133.024219168816</v>
      </c>
      <c r="L87" s="14">
        <f t="shared" si="13"/>
        <v>57951.362477069953</v>
      </c>
      <c r="M87" s="14">
        <f t="shared" si="13"/>
        <v>59699.941675244416</v>
      </c>
      <c r="N87" s="14">
        <f t="shared" si="13"/>
        <v>61501.230211293048</v>
      </c>
      <c r="O87" s="14">
        <f t="shared" si="13"/>
        <v>63356.8156895965</v>
      </c>
      <c r="P87" s="14">
        <f t="shared" si="13"/>
        <v>65268.333501405374</v>
      </c>
      <c r="Q87" s="222">
        <f t="shared" si="13"/>
        <v>67237.468262430659</v>
      </c>
      <c r="R87" s="222">
        <f t="shared" si="13"/>
        <v>69265.955293661871</v>
      </c>
      <c r="S87" s="222">
        <f t="shared" si="13"/>
        <v>71355.582146712302</v>
      </c>
      <c r="T87" s="222">
        <f t="shared" si="13"/>
        <v>73508.190175029697</v>
      </c>
      <c r="U87" s="222">
        <f t="shared" si="13"/>
        <v>75228.125237483313</v>
      </c>
      <c r="V87" s="14">
        <f t="shared" si="13"/>
        <v>75228.125237483313</v>
      </c>
      <c r="W87" s="14">
        <f t="shared" si="13"/>
        <v>75228.125237483313</v>
      </c>
      <c r="X87" s="14">
        <f t="shared" si="13"/>
        <v>75228.125237483313</v>
      </c>
      <c r="Y87" s="14">
        <f t="shared" si="13"/>
        <v>75228.125237483313</v>
      </c>
      <c r="Z87" s="14"/>
      <c r="AA87" s="14">
        <f t="shared" si="13"/>
        <v>0</v>
      </c>
      <c r="AB87" s="14">
        <f t="shared" si="13"/>
        <v>0</v>
      </c>
      <c r="AC87" s="14">
        <f t="shared" si="13"/>
        <v>0</v>
      </c>
      <c r="AD87" s="14">
        <f t="shared" si="13"/>
        <v>0</v>
      </c>
      <c r="AE87" s="9"/>
    </row>
    <row r="88" spans="1:35" hidden="1" x14ac:dyDescent="0.35">
      <c r="A88" s="1"/>
      <c r="B88" s="2"/>
      <c r="C88" s="91"/>
      <c r="D88" s="77"/>
      <c r="E88" s="96" t="s">
        <v>52</v>
      </c>
      <c r="F88" s="14">
        <f>D85*C7</f>
        <v>40064.999400000001</v>
      </c>
      <c r="G88" s="14">
        <f t="shared" ref="G88:Y88" si="14">IF(
F92=$F$109+N("If the IBR monthly payment equals the standard monhtly payment, then"),
F90*$C$7+N("The annual interest rate is the previous year's loan principal multiplied by the interest rate")+N("If the condition was not met then..."),
IF(
F89&gt;0+N("IF the student negatively amortized the previous year, then"),
$D$85*$C$7+N("Annual interest is the original loan balance multiplied by the interest rate")+N("If they made a principal payment in the previous year then..."),
F90*$C$7+N("Since the previous year's loan balance must be lower tahn the original loan balance, the annual interest is the previous year's loan balance multiplied by the interest rate")))</f>
        <v>40064.999400000001</v>
      </c>
      <c r="H88" s="14">
        <f t="shared" si="14"/>
        <v>40064.999400000001</v>
      </c>
      <c r="I88" s="14">
        <f t="shared" si="14"/>
        <v>40064.999400000001</v>
      </c>
      <c r="J88" s="14">
        <f t="shared" si="14"/>
        <v>40064.999400000001</v>
      </c>
      <c r="K88" s="14">
        <f t="shared" si="14"/>
        <v>40064.999400000001</v>
      </c>
      <c r="L88" s="14">
        <f t="shared" si="14"/>
        <v>40064.999400000001</v>
      </c>
      <c r="M88" s="14">
        <f t="shared" si="14"/>
        <v>40064.999400000001</v>
      </c>
      <c r="N88" s="14">
        <f t="shared" si="14"/>
        <v>40064.999400000001</v>
      </c>
      <c r="O88" s="14">
        <f t="shared" si="14"/>
        <v>40064.999400000001</v>
      </c>
      <c r="P88" s="14">
        <f t="shared" si="14"/>
        <v>40064.999400000001</v>
      </c>
      <c r="Q88" s="222">
        <f t="shared" si="14"/>
        <v>39731.71711911993</v>
      </c>
      <c r="R88" s="222">
        <f t="shared" si="14"/>
        <v>37633.187012646405</v>
      </c>
      <c r="S88" s="222">
        <f t="shared" si="14"/>
        <v>35219.789311091336</v>
      </c>
      <c r="T88" s="222">
        <f t="shared" si="14"/>
        <v>32462.836818074873</v>
      </c>
      <c r="U88" s="222">
        <f t="shared" si="14"/>
        <v>29331.313185012361</v>
      </c>
      <c r="V88" s="14">
        <f t="shared" si="14"/>
        <v>25829.651245971269</v>
      </c>
      <c r="W88" s="14">
        <f t="shared" si="14"/>
        <v>22060.832705262266</v>
      </c>
      <c r="X88" s="14">
        <f t="shared" si="14"/>
        <v>18004.475055648141</v>
      </c>
      <c r="Y88" s="14">
        <f t="shared" si="14"/>
        <v>13638.64072219477</v>
      </c>
      <c r="Z88" s="14"/>
      <c r="AA88" s="14"/>
      <c r="AB88" s="14"/>
      <c r="AC88" s="14"/>
      <c r="AD88" s="14"/>
      <c r="AE88" s="9"/>
    </row>
    <row r="89" spans="1:35" hidden="1" x14ac:dyDescent="0.35">
      <c r="A89" s="1"/>
      <c r="B89" s="2"/>
      <c r="C89" s="91"/>
      <c r="D89" s="77"/>
      <c r="E89" s="96" t="s">
        <v>80</v>
      </c>
      <c r="F89" s="14">
        <f>($C$22*$C$7)-((F92*12)*C28)+N("CNAPP equals the annual interest on unsubs minus the the percentage of the annual IBR payment that would be put towards unsubs")</f>
        <v>30221.73933044343</v>
      </c>
      <c r="G89" s="14">
        <f>IF(
F89=-$C$6+N("IF the principal payment from the previous year equals the original loan balance then"),
0+N("The CAN/PP euals zero, because you have paid of the loan")+N("if CAN/PP does not equal the original loan balance, then..."),
IF(
$C$7=0+N("If the interest rate is zero, then"),
(-(G92*12))+F89+N("CNAPP equals the last year's CNAPP minus whatever the annual IBR payment was")+N("If the interest rate is not zero, then..."),
IF(
G88=0+N("If the annual interest paid equals zero, then..."),
0+N("CNAPP equals zero")+N("If the annual interest rate does not equal zero, then..."),
(($C$22*$C$7)-((G127*12)*$C$28))+F125+N("CNAPP equals the previous CNAPP plus the annual interest on unsubs minus the the percentage of the annual IBR payment that would be put towards unsubs"))))</f>
        <v>43127.717545255538</v>
      </c>
      <c r="H89" s="14">
        <f>IF(
G89=-$C$6+N("IF the principal payment from the previous year equals the original loan balance then"),
0+N("The CAN/PP euals zero, because you have paid of the loan")+N("if CAN/PP does not equal the original loan balance, then..."),
IF(
$C$7=0+N("If the interest rate is zero, then"),
(-(H92*12))+G89+N("CNAPP equals the last year's CNAPP minus whatever the annual IBR payment was")+N("If the interest rate is not zero, then..."),
IF(
H88=0+N("If the annual interest paid equals zero, then..."),
0+N("CNAPP equals zero")+N("If the annual interest rate does not equal zero, then..."),
(($C$22*$C$7)-((H92*12)*$C$28))+G89+N("CNAPP equals the previous CNAPP plus the annual interest on unsubs minus the the percentage of the annual IBR payment that would be put towards unsubs"))))</f>
        <v>64681.116580551447</v>
      </c>
      <c r="I89" s="14">
        <f t="shared" ref="I89:Y89" si="15">IF(
H89=-$C6+N("IF the principal payment from the previous year equals the original loan balance then"),
0+N("The CAN/PP euals zero, because you have paid of the loan")+N("if CAN/PP does not equal the original loan balance, then..."),
IF(
$C7=0+N("If the interest rate is zero, then"),
(-(I92*12))+H89+N("CNAPP equals the last year's CNAPP minus whatever the annual IBR payment was")+N("If the interest rate is not zero, then..."),
IF(
I88=0+N("If the annual interest paid equals zero, then..."),
0+N("CNAPP equals zero")+N("If the annual interest rate does not equal zero, then..."),
I88-(I92*12)+H89+N("CNAPP equals the previous CNAPP plus the annual interest minus the annual IBR payment"))))</f>
        <v>71647.922896811098</v>
      </c>
      <c r="J89" s="14">
        <f t="shared" si="15"/>
        <v>77612.464566668845</v>
      </c>
      <c r="K89" s="14">
        <f>IF(
J89=-$C6+N("IF the principal payment from the previous year equals the original loan balance then"),
0+N("The CAN/PP euals zero, because you have paid of the loan")+N("if CAN/PP does not equal the original loan balance, then..."),
IF(
$C7=0+N("If the interest rate is zero, then"),
(-(K92*12))+J89+N("CNAPP equals the last year's CNAPP minus whatever the annual IBR payment was")+N("If the interest rate is not zero, then..."),
IF(
K88=0+N("If the annual interest paid equals zero, then..."),
0+N("CNAPP equals zero")+N("If the annual interest rate does not equal zero, then..."),
K88-(K92*12)+J89+N("CNAPP equals the previous CNAPP plus the annual interest minus the annual IBR payment"))))</f>
        <v>82544.43974750003</v>
      </c>
      <c r="L89" s="14">
        <f t="shared" si="15"/>
        <v>64658.076670430077</v>
      </c>
      <c r="M89" s="14">
        <f t="shared" si="15"/>
        <v>45023.134395185662</v>
      </c>
      <c r="N89" s="14">
        <f t="shared" si="15"/>
        <v>23586.903583892614</v>
      </c>
      <c r="O89" s="14">
        <f t="shared" si="15"/>
        <v>295.08729429611412</v>
      </c>
      <c r="P89" s="14">
        <f t="shared" si="15"/>
        <v>-24908.246807109259</v>
      </c>
      <c r="Q89" s="222">
        <f t="shared" si="15"/>
        <v>-52413.997950419987</v>
      </c>
      <c r="R89" s="222">
        <f t="shared" si="15"/>
        <v>-84046.766231435453</v>
      </c>
      <c r="S89" s="222">
        <f t="shared" si="15"/>
        <v>-120182.55906705643</v>
      </c>
      <c r="T89" s="222">
        <f t="shared" si="15"/>
        <v>-161227.91242401124</v>
      </c>
      <c r="U89" s="222">
        <f t="shared" si="15"/>
        <v>-207124.7244764822</v>
      </c>
      <c r="V89" s="14">
        <f t="shared" si="15"/>
        <v>-256523.19846799423</v>
      </c>
      <c r="W89" s="14">
        <f t="shared" si="15"/>
        <v>-309690.49100021529</v>
      </c>
      <c r="X89" s="14">
        <f t="shared" si="15"/>
        <v>-366914.14118205046</v>
      </c>
      <c r="Y89" s="14">
        <f t="shared" si="15"/>
        <v>-428503.62569733901</v>
      </c>
      <c r="Z89" s="14"/>
      <c r="AA89" s="14"/>
      <c r="AB89" s="14"/>
      <c r="AC89" s="14"/>
      <c r="AD89" s="14"/>
      <c r="AE89" s="9"/>
    </row>
    <row r="90" spans="1:35" ht="16" hidden="1" thickBot="1" x14ac:dyDescent="0.4">
      <c r="A90" s="1"/>
      <c r="B90" s="2"/>
      <c r="C90" s="88"/>
      <c r="D90" s="101"/>
      <c r="E90" s="102" t="s">
        <v>53</v>
      </c>
      <c r="F90" s="14">
        <f>$C$6+F89</f>
        <v>555359.73933044344</v>
      </c>
      <c r="G90" s="14">
        <f t="shared" ref="G90:Y90" si="16">IF(
OR(
F90&lt;=0+N("If either the loan balance from the preceding year is less than or equal to zero OR"),
AND(
$C7=0+N("if the interest rate is zero AND"),
(F90-(F92*12))&lt;0+N("The loan balance is less than the annual IBR payment then"))),
0+N("the loan balance equals zero, if these conditions were not satisfied then"),
IF(
($C6+G89)&lt;0+N("If the principal payment is greaterthan the original loan balance then"),
0+N("the loan balance is zero")+N("If not, then"),
IF(
(G121*$C$11)/12&gt;=$C$109+N("If the IBR payment is greater than or equal to the standard payment then"),
(F90*(1+$C$7))-(G92*12)+N("the previous loan balance plus interest minus the annual IBR payment is the new loan balance")+N("If the condition is false then"),
($C6+G89)+N("the new loan balance is the original minus the principal or plus the negative amortization (the plus sign is in the formula because negative amortization is postitive and principal payment is negative in the spreadsheet"))))</f>
        <v>568265.71754525555</v>
      </c>
      <c r="H90" s="14">
        <f t="shared" si="16"/>
        <v>589819.11658055149</v>
      </c>
      <c r="I90" s="14">
        <f t="shared" si="16"/>
        <v>596785.92289681104</v>
      </c>
      <c r="J90" s="14">
        <f t="shared" si="16"/>
        <v>602750.46456666884</v>
      </c>
      <c r="K90" s="14">
        <f t="shared" si="16"/>
        <v>607682.4397475</v>
      </c>
      <c r="L90" s="14">
        <f t="shared" si="16"/>
        <v>596093.7411490184</v>
      </c>
      <c r="M90" s="14">
        <f t="shared" si="16"/>
        <v>581872.31251506822</v>
      </c>
      <c r="N90" s="14">
        <f t="shared" si="16"/>
        <v>564764.58239668945</v>
      </c>
      <c r="O90" s="14">
        <f t="shared" si="16"/>
        <v>544496.0457020707</v>
      </c>
      <c r="P90" s="14">
        <f t="shared" si="16"/>
        <v>520769.61879351485</v>
      </c>
      <c r="Q90" s="14">
        <f t="shared" si="16"/>
        <v>493263.86765020411</v>
      </c>
      <c r="R90" s="14">
        <f t="shared" si="16"/>
        <v>461631.0993691886</v>
      </c>
      <c r="S90" s="14">
        <f t="shared" si="16"/>
        <v>425495.30653356761</v>
      </c>
      <c r="T90" s="14">
        <f t="shared" si="16"/>
        <v>384449.95317661279</v>
      </c>
      <c r="U90" s="14">
        <f t="shared" si="16"/>
        <v>338553.14112414187</v>
      </c>
      <c r="V90" s="14">
        <f t="shared" si="16"/>
        <v>289154.66713262984</v>
      </c>
      <c r="W90" s="14">
        <f t="shared" si="16"/>
        <v>235987.37460040877</v>
      </c>
      <c r="X90" s="14">
        <f t="shared" si="16"/>
        <v>178763.72441857361</v>
      </c>
      <c r="Y90" s="14">
        <f t="shared" si="16"/>
        <v>117174.23990328507</v>
      </c>
      <c r="Z90" s="14"/>
      <c r="AA90" s="14"/>
      <c r="AB90" s="14"/>
      <c r="AC90" s="14"/>
      <c r="AD90" s="14"/>
      <c r="AE90" s="9"/>
    </row>
    <row r="91" spans="1:35" ht="16" hidden="1" thickBot="1" x14ac:dyDescent="0.4">
      <c r="A91" s="1"/>
      <c r="B91" s="2"/>
      <c r="D91" s="77"/>
      <c r="E91" s="29"/>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9"/>
    </row>
    <row r="92" spans="1:35" hidden="1" x14ac:dyDescent="0.35">
      <c r="A92" s="1"/>
      <c r="B92" s="2" t="s">
        <v>87</v>
      </c>
      <c r="C92" s="85"/>
      <c r="D92" s="106"/>
      <c r="E92" s="103" t="s">
        <v>92</v>
      </c>
      <c r="F92" s="14">
        <f>IF((F121*0.1)/12&lt;=0,0,IF(((F121*0.1)/12)&lt;($D$81/12),((F121*0.1)/12),"Ineligible"))</f>
        <v>499.54166666666669</v>
      </c>
      <c r="G92" s="14">
        <f t="shared" ref="G92:Y92" si="17">IF($F$92="Ineligible","",
IF($C$6=0,"",
IF(
G73&gt;20+N("IT is later than teh 20th year"),
0,
IF(
F90=0,
0+N("If loan balance from the preceding year is zero then IBR payment is zero, if not then"),
IF(
(G121*0.1)/12&lt;0,
0+N(""),
IF(
((G121*0.1)/12)&lt;($D$81/12)+N("If the IBR payment is less than the standard"),
((G121*0.1)/12)+N("Then the IBR payment"),
$F$109+N("If IBR is greater or equal to teh standard, then the standard plan")))))))</f>
        <v>706.68216249999989</v>
      </c>
      <c r="H92" s="14">
        <f t="shared" si="17"/>
        <v>1313.89663477875</v>
      </c>
      <c r="I92" s="14">
        <f t="shared" si="17"/>
        <v>2758.1827569783632</v>
      </c>
      <c r="J92" s="14">
        <f t="shared" si="17"/>
        <v>2841.7048108451872</v>
      </c>
      <c r="K92" s="14">
        <f t="shared" si="17"/>
        <v>2927.7520182640678</v>
      </c>
      <c r="L92" s="14">
        <f t="shared" si="17"/>
        <v>4829.2802064224961</v>
      </c>
      <c r="M92" s="14">
        <f t="shared" si="17"/>
        <v>4974.9951396037013</v>
      </c>
      <c r="N92" s="14">
        <f t="shared" si="17"/>
        <v>5125.1025176077537</v>
      </c>
      <c r="O92" s="14">
        <f t="shared" si="17"/>
        <v>5279.7346407997084</v>
      </c>
      <c r="P92" s="14">
        <f t="shared" si="17"/>
        <v>5439.0277917837811</v>
      </c>
      <c r="Q92" s="14">
        <f t="shared" si="17"/>
        <v>5603.1223552025549</v>
      </c>
      <c r="R92" s="14">
        <f t="shared" si="17"/>
        <v>5772.1629411384893</v>
      </c>
      <c r="S92" s="14">
        <f t="shared" si="17"/>
        <v>5946.2985122260252</v>
      </c>
      <c r="T92" s="14">
        <f t="shared" si="17"/>
        <v>6125.6825145858083</v>
      </c>
      <c r="U92" s="14">
        <f t="shared" si="17"/>
        <v>6269.0104364569424</v>
      </c>
      <c r="V92" s="14">
        <f t="shared" si="17"/>
        <v>6269.0104364569424</v>
      </c>
      <c r="W92" s="14">
        <f t="shared" si="17"/>
        <v>6269.0104364569424</v>
      </c>
      <c r="X92" s="14">
        <f t="shared" si="17"/>
        <v>6269.0104364569424</v>
      </c>
      <c r="Y92" s="14">
        <f t="shared" si="17"/>
        <v>6269.0104364569424</v>
      </c>
      <c r="Z92" s="14"/>
      <c r="AA92" s="14"/>
      <c r="AB92" s="14"/>
      <c r="AC92" s="14"/>
      <c r="AD92" s="14"/>
      <c r="AE92" s="9"/>
    </row>
    <row r="93" spans="1:35" ht="16" hidden="1" thickBot="1" x14ac:dyDescent="0.4">
      <c r="A93" s="1"/>
      <c r="B93" s="2"/>
      <c r="C93" s="88"/>
      <c r="D93" s="101"/>
      <c r="E93" s="102" t="s">
        <v>28</v>
      </c>
      <c r="F93" s="14">
        <f t="shared" ref="F93:Y93" si="18">IF($F$92="Ineligible","",IF($C$6=0,"",F90))</f>
        <v>555359.73933044344</v>
      </c>
      <c r="G93" s="14">
        <f t="shared" si="18"/>
        <v>568265.71754525555</v>
      </c>
      <c r="H93" s="14">
        <f t="shared" si="18"/>
        <v>589819.11658055149</v>
      </c>
      <c r="I93" s="14">
        <f t="shared" si="18"/>
        <v>596785.92289681104</v>
      </c>
      <c r="J93" s="14">
        <f t="shared" si="18"/>
        <v>602750.46456666884</v>
      </c>
      <c r="K93" s="14">
        <f t="shared" si="18"/>
        <v>607682.4397475</v>
      </c>
      <c r="L93" s="14">
        <f t="shared" si="18"/>
        <v>596093.7411490184</v>
      </c>
      <c r="M93" s="14">
        <f t="shared" si="18"/>
        <v>581872.31251506822</v>
      </c>
      <c r="N93" s="14">
        <f t="shared" si="18"/>
        <v>564764.58239668945</v>
      </c>
      <c r="O93" s="14">
        <f t="shared" si="18"/>
        <v>544496.0457020707</v>
      </c>
      <c r="P93" s="14">
        <f t="shared" si="18"/>
        <v>520769.61879351485</v>
      </c>
      <c r="Q93" s="14">
        <f t="shared" si="18"/>
        <v>493263.86765020411</v>
      </c>
      <c r="R93" s="14">
        <f t="shared" si="18"/>
        <v>461631.0993691886</v>
      </c>
      <c r="S93" s="14">
        <f t="shared" si="18"/>
        <v>425495.30653356761</v>
      </c>
      <c r="T93" s="14">
        <f t="shared" si="18"/>
        <v>384449.95317661279</v>
      </c>
      <c r="U93" s="14">
        <f t="shared" si="18"/>
        <v>338553.14112414187</v>
      </c>
      <c r="V93" s="14">
        <f t="shared" si="18"/>
        <v>289154.66713262984</v>
      </c>
      <c r="W93" s="14">
        <f t="shared" si="18"/>
        <v>235987.37460040877</v>
      </c>
      <c r="X93" s="14">
        <f t="shared" si="18"/>
        <v>178763.72441857361</v>
      </c>
      <c r="Y93" s="14">
        <f t="shared" si="18"/>
        <v>117174.23990328507</v>
      </c>
      <c r="Z93" s="14"/>
      <c r="AA93" s="14"/>
      <c r="AB93" s="14"/>
      <c r="AC93" s="14"/>
      <c r="AD93" s="14"/>
      <c r="AE93" s="9"/>
    </row>
    <row r="94" spans="1:35" s="8" customFormat="1" ht="16" thickBot="1" x14ac:dyDescent="0.4">
      <c r="B94" s="46"/>
      <c r="D94" s="74"/>
      <c r="E94" s="74"/>
      <c r="AE94" s="22"/>
    </row>
    <row r="95" spans="1:35" ht="16" hidden="1" thickBot="1" x14ac:dyDescent="0.4">
      <c r="A95" s="1"/>
      <c r="B95" s="2"/>
      <c r="D95" s="77"/>
      <c r="E95" s="77"/>
      <c r="AE95" s="9"/>
    </row>
    <row r="96" spans="1:35" x14ac:dyDescent="0.35">
      <c r="A96" s="1"/>
      <c r="B96" s="29"/>
      <c r="C96" s="280" t="s">
        <v>78</v>
      </c>
      <c r="D96" s="281"/>
      <c r="E96" s="282"/>
      <c r="F96" s="14">
        <f>IF((F121*$C$11)/12&lt;=0,0,IF(((F121*$C$11)/12)&lt;($D$81/12),((F121*$C$11)/12),"Ineligible"))</f>
        <v>749.3125</v>
      </c>
      <c r="G96" s="14">
        <f t="shared" ref="G96:AD96" si="19">IF($F$96="Ineligible","",
IF($C$6=0,"",
IF(
AND(
G73&gt;20+N("IT is later than teh 20th year AND"),
$C$11=0.1+N("Percentage as share is 10 percent THEN")),
0,
IF(
F85=0,
0+N("If loan balance from the preceding year is zero then IBR payment is zero, if not then"),
IF(
(G121*$C$11)/12&lt;0,
0+N(""),
IF(
((G121*$C$11)/12)&lt;($D$81/12)+N("If the IBR payment is less than the standard"),
((G121*$C$11)/12)+N("Then the IBR payment"),
$F$109+N("If IBR is greater or equal to teh standard, then the standard plan")))))))</f>
        <v>1060.0232437499999</v>
      </c>
      <c r="H96" s="14">
        <f t="shared" si="19"/>
        <v>1970.844952168125</v>
      </c>
      <c r="I96" s="14">
        <f t="shared" si="19"/>
        <v>4137.2741354675445</v>
      </c>
      <c r="J96" s="14">
        <f t="shared" si="19"/>
        <v>4262.5572162677799</v>
      </c>
      <c r="K96" s="14">
        <f t="shared" si="19"/>
        <v>4391.628027396102</v>
      </c>
      <c r="L96" s="14">
        <f t="shared" si="19"/>
        <v>6269.0104364569424</v>
      </c>
      <c r="M96" s="14">
        <f t="shared" si="19"/>
        <v>6269.0104364569424</v>
      </c>
      <c r="N96" s="14">
        <f t="shared" si="19"/>
        <v>6269.0104364569424</v>
      </c>
      <c r="O96" s="14">
        <f t="shared" si="19"/>
        <v>6269.0104364569424</v>
      </c>
      <c r="P96" s="14">
        <f t="shared" si="19"/>
        <v>6269.0104364569424</v>
      </c>
      <c r="Q96" s="14">
        <f t="shared" si="19"/>
        <v>6269.0104364569424</v>
      </c>
      <c r="R96" s="14">
        <f t="shared" si="19"/>
        <v>6269.0104364569424</v>
      </c>
      <c r="S96" s="14">
        <f t="shared" si="19"/>
        <v>6269.0104364569424</v>
      </c>
      <c r="T96" s="14">
        <f t="shared" si="19"/>
        <v>6269.0104364569424</v>
      </c>
      <c r="U96" s="14">
        <f t="shared" si="19"/>
        <v>6269.0104364569424</v>
      </c>
      <c r="V96" s="14">
        <f t="shared" si="19"/>
        <v>6269.0104364569424</v>
      </c>
      <c r="W96" s="14">
        <f t="shared" si="19"/>
        <v>6269.0104364569424</v>
      </c>
      <c r="X96" s="14">
        <f t="shared" si="19"/>
        <v>0</v>
      </c>
      <c r="Y96" s="14">
        <f t="shared" si="19"/>
        <v>0</v>
      </c>
      <c r="Z96" s="14">
        <f t="shared" si="19"/>
        <v>0</v>
      </c>
      <c r="AA96" s="14">
        <f t="shared" si="19"/>
        <v>0</v>
      </c>
      <c r="AB96" s="14">
        <f t="shared" si="19"/>
        <v>0</v>
      </c>
      <c r="AC96" s="14">
        <f t="shared" si="19"/>
        <v>0</v>
      </c>
      <c r="AD96" s="14">
        <f t="shared" si="19"/>
        <v>0</v>
      </c>
      <c r="AE96" s="14"/>
      <c r="AF96" s="14"/>
      <c r="AG96" s="14"/>
      <c r="AH96" s="14"/>
      <c r="AI96" s="14"/>
    </row>
    <row r="97" spans="1:35" hidden="1" x14ac:dyDescent="0.35">
      <c r="A97" s="1"/>
      <c r="B97" s="2"/>
      <c r="C97" s="291" t="s">
        <v>28</v>
      </c>
      <c r="D97" s="290"/>
      <c r="E97" s="292"/>
      <c r="F97" s="14">
        <f t="shared" ref="F97:AD97" si="20">IF($F$96="Ineligible","",IF($C$6=0,"",F85))</f>
        <v>552701.07245430804</v>
      </c>
      <c r="G97" s="14">
        <f t="shared" si="20"/>
        <v>576956.80773300165</v>
      </c>
      <c r="H97" s="14">
        <f t="shared" si="20"/>
        <v>591517.36974458839</v>
      </c>
      <c r="I97" s="14">
        <f t="shared" si="20"/>
        <v>581935.07951897779</v>
      </c>
      <c r="J97" s="14">
        <f t="shared" si="20"/>
        <v>570849.39232376451</v>
      </c>
      <c r="K97" s="14">
        <f t="shared" si="20"/>
        <v>558214.85539501125</v>
      </c>
      <c r="L97" s="14">
        <f t="shared" si="20"/>
        <v>525575.30277362547</v>
      </c>
      <c r="M97" s="14">
        <f t="shared" si="20"/>
        <v>490445.54061457131</v>
      </c>
      <c r="N97" s="14">
        <f t="shared" si="20"/>
        <v>452635.58029841434</v>
      </c>
      <c r="O97" s="14">
        <f t="shared" si="20"/>
        <v>411940.93817027489</v>
      </c>
      <c r="P97" s="14">
        <f t="shared" si="20"/>
        <v>368141.52965225867</v>
      </c>
      <c r="Q97" s="14">
        <f t="shared" si="20"/>
        <v>321000.4789830466</v>
      </c>
      <c r="R97" s="14">
        <f t="shared" si="20"/>
        <v>270262.8381474833</v>
      </c>
      <c r="S97" s="14">
        <f t="shared" si="20"/>
        <v>215654.20806788461</v>
      </c>
      <c r="T97" s="14">
        <f t="shared" si="20"/>
        <v>156879.25460019754</v>
      </c>
      <c r="U97" s="14">
        <f t="shared" si="20"/>
        <v>93620.111309229935</v>
      </c>
      <c r="V97" s="14">
        <f t="shared" si="20"/>
        <v>25534.660384845716</v>
      </c>
      <c r="W97" s="14">
        <f t="shared" si="20"/>
        <v>0</v>
      </c>
      <c r="X97" s="14">
        <f t="shared" si="20"/>
        <v>0</v>
      </c>
      <c r="Y97" s="14">
        <f t="shared" si="20"/>
        <v>0</v>
      </c>
      <c r="Z97" s="14">
        <f t="shared" si="20"/>
        <v>0</v>
      </c>
      <c r="AA97" s="14">
        <f t="shared" si="20"/>
        <v>0</v>
      </c>
      <c r="AB97" s="14">
        <f t="shared" si="20"/>
        <v>0</v>
      </c>
      <c r="AC97" s="14">
        <f t="shared" si="20"/>
        <v>0</v>
      </c>
      <c r="AD97" s="14">
        <f t="shared" si="20"/>
        <v>0</v>
      </c>
      <c r="AE97" s="14"/>
      <c r="AF97" s="14"/>
      <c r="AG97" s="14"/>
      <c r="AH97" s="14"/>
      <c r="AI97" s="14"/>
    </row>
    <row r="98" spans="1:35" hidden="1" x14ac:dyDescent="0.35">
      <c r="A98" s="1"/>
      <c r="B98" s="2"/>
      <c r="C98" s="248"/>
      <c r="D98" s="78"/>
      <c r="E98" s="131"/>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row>
    <row r="99" spans="1:35" hidden="1" x14ac:dyDescent="0.35">
      <c r="A99" s="1"/>
      <c r="B99" s="18"/>
      <c r="C99" s="293"/>
      <c r="D99" s="289"/>
      <c r="E99" s="29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row>
    <row r="100" spans="1:35" hidden="1" x14ac:dyDescent="0.35">
      <c r="A100" s="1"/>
      <c r="B100" s="2"/>
      <c r="C100" s="291"/>
      <c r="D100" s="290"/>
      <c r="E100" s="292"/>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row>
    <row r="101" spans="1:35" hidden="1" x14ac:dyDescent="0.35">
      <c r="A101" s="1"/>
      <c r="B101" s="2"/>
      <c r="C101" s="91"/>
      <c r="D101" s="8"/>
      <c r="E101" s="131"/>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row>
    <row r="102" spans="1:35" x14ac:dyDescent="0.35">
      <c r="A102" s="1"/>
      <c r="B102" s="29"/>
      <c r="C102" s="276" t="s">
        <v>29</v>
      </c>
      <c r="D102" s="277"/>
      <c r="E102" s="278"/>
      <c r="F102" s="14">
        <f t="shared" ref="F102:O102" si="21">IF($C$6=0,"",F109)</f>
        <v>6269.0104364569424</v>
      </c>
      <c r="G102" s="14">
        <f t="shared" si="21"/>
        <v>6269.0104364569424</v>
      </c>
      <c r="H102" s="14">
        <f t="shared" si="21"/>
        <v>6269.0104364569424</v>
      </c>
      <c r="I102" s="14">
        <f t="shared" si="21"/>
        <v>6269.0104364569424</v>
      </c>
      <c r="J102" s="14">
        <f t="shared" si="21"/>
        <v>6269.0104364569424</v>
      </c>
      <c r="K102" s="14">
        <f t="shared" si="21"/>
        <v>6269.0104364569424</v>
      </c>
      <c r="L102" s="14">
        <f t="shared" si="21"/>
        <v>6269.0104364569424</v>
      </c>
      <c r="M102" s="14">
        <f t="shared" si="21"/>
        <v>6269.0104364569424</v>
      </c>
      <c r="N102" s="14">
        <f t="shared" si="21"/>
        <v>6269.0104364569424</v>
      </c>
      <c r="O102" s="14">
        <f t="shared" si="21"/>
        <v>6269.0104364569424</v>
      </c>
      <c r="P102" s="14"/>
      <c r="Q102" s="14"/>
      <c r="R102" s="14"/>
      <c r="S102" s="14"/>
      <c r="T102" s="14"/>
      <c r="U102" s="14"/>
      <c r="V102" s="14"/>
      <c r="W102" s="14"/>
      <c r="X102" s="14"/>
      <c r="Y102" s="14"/>
      <c r="Z102" s="14"/>
      <c r="AA102" s="14"/>
      <c r="AB102" s="14"/>
      <c r="AC102" s="14"/>
      <c r="AD102" s="14"/>
      <c r="AE102" s="14"/>
      <c r="AF102" s="14"/>
      <c r="AG102" s="14"/>
      <c r="AH102" s="14"/>
      <c r="AI102" s="14"/>
    </row>
    <row r="103" spans="1:35" x14ac:dyDescent="0.35">
      <c r="A103" s="1"/>
      <c r="C103" s="276" t="s">
        <v>30</v>
      </c>
      <c r="D103" s="277"/>
      <c r="E103" s="278"/>
      <c r="F103" s="14">
        <f>IF($C$6=0,"",F105)</f>
        <v>3718.4918722875937</v>
      </c>
      <c r="G103" s="14">
        <f t="shared" ref="G103:AI103" si="22">IF($C$6=0,"",G105)</f>
        <v>3718.4918722875937</v>
      </c>
      <c r="H103" s="14">
        <f t="shared" si="22"/>
        <v>3718.4918722875937</v>
      </c>
      <c r="I103" s="14">
        <f t="shared" si="22"/>
        <v>3718.4918722875937</v>
      </c>
      <c r="J103" s="14">
        <f t="shared" si="22"/>
        <v>3718.4918722875937</v>
      </c>
      <c r="K103" s="14">
        <f t="shared" si="22"/>
        <v>3718.4918722875937</v>
      </c>
      <c r="L103" s="14">
        <f t="shared" si="22"/>
        <v>3718.4918722875937</v>
      </c>
      <c r="M103" s="14">
        <f t="shared" si="22"/>
        <v>3718.4918722875937</v>
      </c>
      <c r="N103" s="14">
        <f t="shared" si="22"/>
        <v>3718.4918722875937</v>
      </c>
      <c r="O103" s="14">
        <f t="shared" si="22"/>
        <v>3718.4918722875937</v>
      </c>
      <c r="P103" s="14">
        <f t="shared" si="22"/>
        <v>3718.4918722875937</v>
      </c>
      <c r="Q103" s="14">
        <f t="shared" si="22"/>
        <v>3718.4918722875937</v>
      </c>
      <c r="R103" s="14">
        <f t="shared" si="22"/>
        <v>3718.4918722875937</v>
      </c>
      <c r="S103" s="14">
        <f t="shared" si="22"/>
        <v>3718.4918722875937</v>
      </c>
      <c r="T103" s="14">
        <f t="shared" si="22"/>
        <v>3718.4918722875937</v>
      </c>
      <c r="U103" s="14">
        <f t="shared" si="22"/>
        <v>3718.4918722875937</v>
      </c>
      <c r="V103" s="14">
        <f t="shared" si="22"/>
        <v>3718.4918722875937</v>
      </c>
      <c r="W103" s="14">
        <f t="shared" si="22"/>
        <v>3718.4918722875937</v>
      </c>
      <c r="X103" s="14">
        <f t="shared" si="22"/>
        <v>3718.4918722875937</v>
      </c>
      <c r="Y103" s="14">
        <f t="shared" si="22"/>
        <v>3718.4918722875937</v>
      </c>
      <c r="Z103" s="14">
        <f t="shared" si="22"/>
        <v>3718.4918722875937</v>
      </c>
      <c r="AA103" s="14">
        <f t="shared" si="22"/>
        <v>3718.4918722875937</v>
      </c>
      <c r="AB103" s="14">
        <f t="shared" si="22"/>
        <v>3718.4918722875937</v>
      </c>
      <c r="AC103" s="14">
        <f t="shared" si="22"/>
        <v>3718.4918722875937</v>
      </c>
      <c r="AD103" s="14">
        <f t="shared" si="22"/>
        <v>3718.4918722875937</v>
      </c>
      <c r="AE103" s="14"/>
      <c r="AF103" s="14"/>
      <c r="AG103" s="14"/>
      <c r="AH103" s="14">
        <f t="shared" si="22"/>
        <v>0</v>
      </c>
      <c r="AI103" s="14">
        <f t="shared" si="22"/>
        <v>0</v>
      </c>
    </row>
    <row r="104" spans="1:35" x14ac:dyDescent="0.35">
      <c r="A104" s="1"/>
      <c r="C104" s="276" t="s">
        <v>31</v>
      </c>
      <c r="D104" s="277"/>
      <c r="E104" s="278"/>
      <c r="F104" s="14">
        <f t="shared" ref="F104:AI104" si="23">IF($C$6=0,"",F115)</f>
        <v>3272.2728476130824</v>
      </c>
      <c r="G104" s="14">
        <f t="shared" si="23"/>
        <v>3272.2728476130824</v>
      </c>
      <c r="H104" s="14">
        <f t="shared" si="23"/>
        <v>3383.1099803084348</v>
      </c>
      <c r="I104" s="14">
        <f t="shared" si="23"/>
        <v>3383.1099803084348</v>
      </c>
      <c r="J104" s="14">
        <f t="shared" si="23"/>
        <v>3454.2750150167931</v>
      </c>
      <c r="K104" s="14">
        <f t="shared" si="23"/>
        <v>3454.2750150167931</v>
      </c>
      <c r="L104" s="14">
        <f t="shared" si="23"/>
        <v>3569.0354561763406</v>
      </c>
      <c r="M104" s="14">
        <f t="shared" si="23"/>
        <v>3569.0354561763406</v>
      </c>
      <c r="N104" s="14">
        <f t="shared" si="23"/>
        <v>3683.267128824903</v>
      </c>
      <c r="O104" s="14">
        <f t="shared" si="23"/>
        <v>3683.267128824903</v>
      </c>
      <c r="P104" s="14">
        <f t="shared" si="23"/>
        <v>3776.2892330978311</v>
      </c>
      <c r="Q104" s="14">
        <f t="shared" si="23"/>
        <v>3776.2892330978311</v>
      </c>
      <c r="R104" s="14">
        <f t="shared" si="23"/>
        <v>3893.069486410755</v>
      </c>
      <c r="S104" s="14">
        <f t="shared" si="23"/>
        <v>3893.069486410755</v>
      </c>
      <c r="T104" s="14">
        <f t="shared" si="23"/>
        <v>4009.9354659889441</v>
      </c>
      <c r="U104" s="14">
        <f t="shared" si="23"/>
        <v>4009.9354659889441</v>
      </c>
      <c r="V104" s="14">
        <f t="shared" si="23"/>
        <v>4127.2758815215693</v>
      </c>
      <c r="W104" s="14">
        <f t="shared" si="23"/>
        <v>4127.2758815215693</v>
      </c>
      <c r="X104" s="14">
        <f t="shared" si="23"/>
        <v>4245.7788283778345</v>
      </c>
      <c r="Y104" s="14">
        <f t="shared" si="23"/>
        <v>4245.7788283778345</v>
      </c>
      <c r="Z104" s="14">
        <f t="shared" si="23"/>
        <v>4366.6565617678034</v>
      </c>
      <c r="AA104" s="14">
        <f t="shared" si="23"/>
        <v>4366.6565617678034</v>
      </c>
      <c r="AB104" s="14">
        <f t="shared" si="23"/>
        <v>4492.1496217477425</v>
      </c>
      <c r="AC104" s="14">
        <f t="shared" si="23"/>
        <v>4492.1496217477425</v>
      </c>
      <c r="AD104" s="14">
        <f t="shared" si="23"/>
        <v>4626.8697235866421</v>
      </c>
      <c r="AE104" s="14"/>
      <c r="AF104" s="14"/>
      <c r="AG104" s="14"/>
      <c r="AH104" s="14">
        <f t="shared" si="23"/>
        <v>0</v>
      </c>
      <c r="AI104" s="14">
        <f t="shared" si="23"/>
        <v>0</v>
      </c>
    </row>
    <row r="105" spans="1:35" x14ac:dyDescent="0.35">
      <c r="A105" s="1"/>
      <c r="C105" s="91"/>
      <c r="D105" s="8"/>
      <c r="E105" s="107" t="s">
        <v>30</v>
      </c>
      <c r="F105" s="14">
        <f>IF($C6&lt;10000,PMT($C$7/$C$8,12*$C$8,-$C$6),IF($C6&lt;20000,PMT($C$7/$C$8,15*$C$8,-$C$6),IF($C6&lt;40000,PMT($C$7/$C$8,20*$C$8,-$C$6),IF($C6&lt;60000,PMT($C$7/$C$8,25*$C$8,-$C$6),PMT($C$7/$C$8,30*$C$8,-$C$6)))))</f>
        <v>3718.4918722875937</v>
      </c>
      <c r="G105" s="14">
        <f t="shared" ref="G105:Q107" si="24">F105</f>
        <v>3718.4918722875937</v>
      </c>
      <c r="H105" s="14">
        <f t="shared" si="24"/>
        <v>3718.4918722875937</v>
      </c>
      <c r="I105" s="14">
        <f t="shared" si="24"/>
        <v>3718.4918722875937</v>
      </c>
      <c r="J105" s="14">
        <f t="shared" si="24"/>
        <v>3718.4918722875937</v>
      </c>
      <c r="K105" s="14">
        <f t="shared" si="24"/>
        <v>3718.4918722875937</v>
      </c>
      <c r="L105" s="14">
        <f t="shared" si="24"/>
        <v>3718.4918722875937</v>
      </c>
      <c r="M105" s="14">
        <f t="shared" si="24"/>
        <v>3718.4918722875937</v>
      </c>
      <c r="N105" s="14">
        <f t="shared" si="24"/>
        <v>3718.4918722875937</v>
      </c>
      <c r="O105" s="14">
        <f t="shared" si="24"/>
        <v>3718.4918722875937</v>
      </c>
      <c r="P105" s="14">
        <f t="shared" si="24"/>
        <v>3718.4918722875937</v>
      </c>
      <c r="Q105" s="14">
        <f t="shared" si="24"/>
        <v>3718.4918722875937</v>
      </c>
      <c r="R105" s="14">
        <f>IF(C6&lt;10000,0,Q105)</f>
        <v>3718.4918722875937</v>
      </c>
      <c r="S105" s="14">
        <f>R105</f>
        <v>3718.4918722875937</v>
      </c>
      <c r="T105" s="14">
        <f>S105</f>
        <v>3718.4918722875937</v>
      </c>
      <c r="U105" s="14">
        <f>IF(C6&lt;20000,0,T105)</f>
        <v>3718.4918722875937</v>
      </c>
      <c r="V105" s="14">
        <f t="shared" ref="V105:Y107" si="25">U105</f>
        <v>3718.4918722875937</v>
      </c>
      <c r="W105" s="14">
        <f t="shared" si="25"/>
        <v>3718.4918722875937</v>
      </c>
      <c r="X105" s="14">
        <f t="shared" si="25"/>
        <v>3718.4918722875937</v>
      </c>
      <c r="Y105" s="14">
        <f t="shared" si="25"/>
        <v>3718.4918722875937</v>
      </c>
      <c r="Z105" s="14">
        <f>IF(C6&lt;40000,0,Y105)</f>
        <v>3718.4918722875937</v>
      </c>
      <c r="AA105" s="14">
        <f t="shared" ref="AA105:AD107" si="26">Z105</f>
        <v>3718.4918722875937</v>
      </c>
      <c r="AB105" s="14">
        <f t="shared" si="26"/>
        <v>3718.4918722875937</v>
      </c>
      <c r="AC105" s="14">
        <f t="shared" si="26"/>
        <v>3718.4918722875937</v>
      </c>
      <c r="AD105" s="14">
        <f t="shared" si="26"/>
        <v>3718.4918722875937</v>
      </c>
      <c r="AE105" s="14"/>
      <c r="AF105" s="14"/>
      <c r="AG105" s="14"/>
      <c r="AH105" s="14">
        <f>AG105</f>
        <v>0</v>
      </c>
      <c r="AI105" s="14">
        <f>AH105</f>
        <v>0</v>
      </c>
    </row>
    <row r="106" spans="1:35" hidden="1" x14ac:dyDescent="0.35">
      <c r="A106" s="1"/>
      <c r="C106" s="91"/>
      <c r="D106" s="8"/>
      <c r="E106" s="107" t="s">
        <v>49</v>
      </c>
      <c r="F106" s="8">
        <f>F105*12</f>
        <v>44621.902467451124</v>
      </c>
      <c r="G106" s="8">
        <f t="shared" ref="G106:AI106" si="27">G105*12</f>
        <v>44621.902467451124</v>
      </c>
      <c r="H106" s="8">
        <f t="shared" si="27"/>
        <v>44621.902467451124</v>
      </c>
      <c r="I106" s="8">
        <f t="shared" si="27"/>
        <v>44621.902467451124</v>
      </c>
      <c r="J106" s="8">
        <f t="shared" si="27"/>
        <v>44621.902467451124</v>
      </c>
      <c r="K106" s="8">
        <f t="shared" si="27"/>
        <v>44621.902467451124</v>
      </c>
      <c r="L106" s="8">
        <f t="shared" si="27"/>
        <v>44621.902467451124</v>
      </c>
      <c r="M106" s="8">
        <f t="shared" si="27"/>
        <v>44621.902467451124</v>
      </c>
      <c r="N106" s="8">
        <f t="shared" si="27"/>
        <v>44621.902467451124</v>
      </c>
      <c r="O106" s="8">
        <f>O105*12</f>
        <v>44621.902467451124</v>
      </c>
      <c r="P106" s="8">
        <f t="shared" si="27"/>
        <v>44621.902467451124</v>
      </c>
      <c r="Q106" s="8">
        <f t="shared" si="27"/>
        <v>44621.902467451124</v>
      </c>
      <c r="R106" s="26">
        <f t="shared" si="27"/>
        <v>44621.902467451124</v>
      </c>
      <c r="S106" s="26">
        <f t="shared" si="27"/>
        <v>44621.902467451124</v>
      </c>
      <c r="T106" s="26">
        <f t="shared" si="27"/>
        <v>44621.902467451124</v>
      </c>
      <c r="U106" s="26">
        <f t="shared" si="27"/>
        <v>44621.902467451124</v>
      </c>
      <c r="V106" s="26">
        <f t="shared" si="27"/>
        <v>44621.902467451124</v>
      </c>
      <c r="W106" s="26">
        <f t="shared" si="27"/>
        <v>44621.902467451124</v>
      </c>
      <c r="X106" s="26">
        <f t="shared" si="27"/>
        <v>44621.902467451124</v>
      </c>
      <c r="Y106" s="26">
        <f t="shared" si="27"/>
        <v>44621.902467451124</v>
      </c>
      <c r="Z106" s="26">
        <f t="shared" si="27"/>
        <v>44621.902467451124</v>
      </c>
      <c r="AA106" s="26">
        <f t="shared" si="27"/>
        <v>44621.902467451124</v>
      </c>
      <c r="AB106" s="26">
        <f t="shared" si="27"/>
        <v>44621.902467451124</v>
      </c>
      <c r="AC106" s="23">
        <f t="shared" si="27"/>
        <v>44621.902467451124</v>
      </c>
      <c r="AD106" s="23">
        <f t="shared" si="27"/>
        <v>44621.902467451124</v>
      </c>
      <c r="AE106" s="23">
        <f t="shared" si="27"/>
        <v>0</v>
      </c>
      <c r="AF106" s="23"/>
      <c r="AG106" s="23"/>
      <c r="AH106" s="23">
        <f t="shared" si="27"/>
        <v>0</v>
      </c>
      <c r="AI106" s="23">
        <f t="shared" si="27"/>
        <v>0</v>
      </c>
    </row>
    <row r="107" spans="1:35" hidden="1" x14ac:dyDescent="0.35">
      <c r="A107" s="1"/>
      <c r="B107" s="1" t="s">
        <v>10</v>
      </c>
      <c r="C107" s="91"/>
      <c r="D107" s="8">
        <f>IF(K107="N/A","N/A",SUM(F107:AI107)*12)</f>
        <v>1183314.1771822104</v>
      </c>
      <c r="E107" s="260"/>
      <c r="F107" s="14">
        <f>($C$6*$C$7)/12</f>
        <v>3338.7499499999999</v>
      </c>
      <c r="G107" s="14">
        <f>($C$6*$C$7)/12</f>
        <v>3338.7499499999999</v>
      </c>
      <c r="H107" s="14">
        <f>($C$6*$C$7)/12</f>
        <v>3338.7499499999999</v>
      </c>
      <c r="I107" s="14">
        <f>($C$6*$C$7)/12</f>
        <v>3338.7499499999999</v>
      </c>
      <c r="J107" s="14">
        <f>IF($C$6&lt;10000,PMT($C$7/$C$8,8*$C$8,-$C$6),IF($C$6&lt;20000,PMT($C$7/$C$8,11*$C$8,-$C$6),IF($C$6&lt;40000,PMT($C$7/$C$8,16*$C$8,-$C$6),IF($C$6&lt;60000,PMT($C$7/$C$8,21*$C$8,-$C$6),PMT($C$7/$C$8,26*$C$8,-$C$6)))))</f>
        <v>3875.2052256901884</v>
      </c>
      <c r="K107" s="14">
        <f>IF(J107&gt;($F$107*3),"N/A",J107)</f>
        <v>3875.2052256901884</v>
      </c>
      <c r="L107" s="14">
        <f t="shared" si="24"/>
        <v>3875.2052256901884</v>
      </c>
      <c r="M107" s="14">
        <f t="shared" si="24"/>
        <v>3875.2052256901884</v>
      </c>
      <c r="N107" s="14">
        <f t="shared" si="24"/>
        <v>3875.2052256901884</v>
      </c>
      <c r="O107" s="14">
        <f t="shared" si="24"/>
        <v>3875.2052256901884</v>
      </c>
      <c r="P107" s="14">
        <f t="shared" si="24"/>
        <v>3875.2052256901884</v>
      </c>
      <c r="Q107" s="14">
        <f t="shared" si="24"/>
        <v>3875.2052256901884</v>
      </c>
      <c r="R107" s="14">
        <f>IF($C$6&lt;10000,0,Q107)</f>
        <v>3875.2052256901884</v>
      </c>
      <c r="S107" s="14">
        <f>R107</f>
        <v>3875.2052256901884</v>
      </c>
      <c r="T107" s="14">
        <f>S107</f>
        <v>3875.2052256901884</v>
      </c>
      <c r="U107" s="14">
        <f>IF($C$6&lt;20000,0,T107)</f>
        <v>3875.2052256901884</v>
      </c>
      <c r="V107" s="14">
        <f t="shared" si="25"/>
        <v>3875.2052256901884</v>
      </c>
      <c r="W107" s="14">
        <f t="shared" si="25"/>
        <v>3875.2052256901884</v>
      </c>
      <c r="X107" s="14">
        <f t="shared" si="25"/>
        <v>3875.2052256901884</v>
      </c>
      <c r="Y107" s="14">
        <f t="shared" si="25"/>
        <v>3875.2052256901884</v>
      </c>
      <c r="Z107" s="14">
        <f>IF($C$6&lt;40000,0,Y107)</f>
        <v>3875.2052256901884</v>
      </c>
      <c r="AA107" s="14">
        <f t="shared" si="26"/>
        <v>3875.2052256901884</v>
      </c>
      <c r="AB107" s="14">
        <f t="shared" si="26"/>
        <v>3875.2052256901884</v>
      </c>
      <c r="AC107" s="14">
        <f t="shared" si="26"/>
        <v>3875.2052256901884</v>
      </c>
      <c r="AD107" s="14">
        <f t="shared" si="26"/>
        <v>3875.2052256901884</v>
      </c>
      <c r="AE107" s="14">
        <f>IF($C$6&lt;60000,0,AD107)</f>
        <v>3875.2052256901884</v>
      </c>
      <c r="AF107" s="14"/>
      <c r="AG107" s="14"/>
      <c r="AH107" s="14">
        <f>AG107</f>
        <v>0</v>
      </c>
      <c r="AI107" s="14">
        <f>AH107</f>
        <v>0</v>
      </c>
    </row>
    <row r="108" spans="1:35" s="8" customFormat="1" hidden="1" x14ac:dyDescent="0.35">
      <c r="C108" s="126"/>
      <c r="E108" s="260" t="s">
        <v>43</v>
      </c>
      <c r="F108" s="8">
        <f>F109*12</f>
        <v>75228.125237483313</v>
      </c>
      <c r="G108" s="8">
        <f t="shared" ref="G108:O108" si="28">G109*12</f>
        <v>75228.125237483313</v>
      </c>
      <c r="H108" s="8">
        <f t="shared" si="28"/>
        <v>75228.125237483313</v>
      </c>
      <c r="I108" s="8">
        <f t="shared" si="28"/>
        <v>75228.125237483313</v>
      </c>
      <c r="J108" s="8">
        <f t="shared" si="28"/>
        <v>75228.125237483313</v>
      </c>
      <c r="K108" s="8">
        <f t="shared" si="28"/>
        <v>75228.125237483313</v>
      </c>
      <c r="L108" s="8">
        <f t="shared" si="28"/>
        <v>75228.125237483313</v>
      </c>
      <c r="M108" s="8">
        <f t="shared" si="28"/>
        <v>75228.125237483313</v>
      </c>
      <c r="N108" s="8">
        <f t="shared" si="28"/>
        <v>75228.125237483313</v>
      </c>
      <c r="O108" s="8">
        <f t="shared" si="28"/>
        <v>75228.125237483313</v>
      </c>
    </row>
    <row r="109" spans="1:35" hidden="1" x14ac:dyDescent="0.35">
      <c r="A109" s="1"/>
      <c r="B109" s="1" t="s">
        <v>132</v>
      </c>
      <c r="C109" s="261">
        <f>PMT(C$7/12,10*12,-C$6)</f>
        <v>6269.0104364569424</v>
      </c>
      <c r="E109" s="262" t="s">
        <v>11</v>
      </c>
      <c r="F109" s="14">
        <f>PMT(C$7/12,10*12,-C$6)</f>
        <v>6269.0104364569424</v>
      </c>
      <c r="G109" s="14">
        <f t="shared" ref="G109:O109" si="29">$F$109</f>
        <v>6269.0104364569424</v>
      </c>
      <c r="H109" s="14">
        <f t="shared" si="29"/>
        <v>6269.0104364569424</v>
      </c>
      <c r="I109" s="14">
        <f t="shared" si="29"/>
        <v>6269.0104364569424</v>
      </c>
      <c r="J109" s="14">
        <f t="shared" si="29"/>
        <v>6269.0104364569424</v>
      </c>
      <c r="K109" s="14">
        <f t="shared" si="29"/>
        <v>6269.0104364569424</v>
      </c>
      <c r="L109" s="14">
        <f t="shared" si="29"/>
        <v>6269.0104364569424</v>
      </c>
      <c r="M109" s="14">
        <f t="shared" si="29"/>
        <v>6269.0104364569424</v>
      </c>
      <c r="N109" s="14">
        <f t="shared" si="29"/>
        <v>6269.0104364569424</v>
      </c>
      <c r="O109" s="14">
        <f t="shared" si="29"/>
        <v>6269.0104364569424</v>
      </c>
      <c r="P109" s="14">
        <v>0</v>
      </c>
      <c r="Q109" s="14">
        <v>0</v>
      </c>
      <c r="R109" s="14">
        <v>0</v>
      </c>
      <c r="S109" s="14">
        <v>0</v>
      </c>
      <c r="T109" s="14">
        <v>0</v>
      </c>
      <c r="U109" s="14">
        <v>0</v>
      </c>
      <c r="V109" s="14">
        <v>0</v>
      </c>
      <c r="W109" s="14">
        <v>0</v>
      </c>
      <c r="X109" s="14">
        <v>0</v>
      </c>
      <c r="Y109" s="14">
        <v>0</v>
      </c>
      <c r="Z109" s="14">
        <v>0</v>
      </c>
      <c r="AA109" s="14">
        <v>0</v>
      </c>
      <c r="AB109" s="14">
        <v>0</v>
      </c>
      <c r="AC109" s="14">
        <v>0</v>
      </c>
      <c r="AD109" s="14">
        <v>0</v>
      </c>
      <c r="AE109" s="14"/>
      <c r="AF109" s="14"/>
      <c r="AG109" s="14"/>
      <c r="AH109" s="14"/>
      <c r="AI109" s="14"/>
    </row>
    <row r="110" spans="1:35" hidden="1" x14ac:dyDescent="0.35">
      <c r="A110" s="1"/>
      <c r="B110" s="1" t="s">
        <v>12</v>
      </c>
      <c r="C110" s="91"/>
      <c r="D110" s="47">
        <f>IF(J110="N/A","N/A",SUM(F110:O110)*12)</f>
        <v>818654.05599707051</v>
      </c>
      <c r="E110" s="263"/>
      <c r="F110" s="25">
        <f>PMT($C$7/12,10*12,(0.69)*-($C$6))</f>
        <v>4325.617201155289</v>
      </c>
      <c r="G110" s="25">
        <f>PMT($C$7/12,10*12,(0.69)*-($C$6))</f>
        <v>4325.617201155289</v>
      </c>
      <c r="H110" s="25">
        <f>PMT($C$7/12,8*12,(0.76)*-($G$114))</f>
        <v>5306.4681867792406</v>
      </c>
      <c r="I110" s="25">
        <f>PMT($C$7/12,8*12,(0.76)*-($G$114))</f>
        <v>5306.4681867792406</v>
      </c>
      <c r="J110" s="25">
        <f>PMT($C$7/12,6*12,(0.84)*-($I$114))</f>
        <v>6524.8013844541429</v>
      </c>
      <c r="K110" s="25">
        <f>PMT($C$7/12,6*12,(0.84)*-($I$114))</f>
        <v>6524.8013844541429</v>
      </c>
      <c r="L110" s="25">
        <f>PMT($C$7/12,4*12,(0.9)*-($K$114))</f>
        <v>7765.5762775106523</v>
      </c>
      <c r="M110" s="25">
        <f>PMT($C$7/12,4*12,(0.9)*-($K$114))</f>
        <v>7765.5762775106523</v>
      </c>
      <c r="N110" s="25">
        <f>PMT($C$7/12,2*12,-($M$114))</f>
        <v>9862.0602159492046</v>
      </c>
      <c r="O110" s="25">
        <f>(PMT($C$7/12,2*12,-($M$114)))+((N114-(N111-(N114*$C7)))/12)</f>
        <v>10514.185017341346</v>
      </c>
      <c r="P110" s="14"/>
      <c r="Q110" s="14"/>
      <c r="R110" s="14"/>
      <c r="S110" s="14"/>
      <c r="T110" s="14"/>
      <c r="U110" s="14"/>
      <c r="V110" s="14"/>
      <c r="W110" s="14"/>
      <c r="X110" s="14"/>
      <c r="Y110" s="14"/>
      <c r="Z110" s="14"/>
      <c r="AA110" s="14"/>
      <c r="AB110" s="14"/>
      <c r="AC110" s="14"/>
      <c r="AD110" s="14"/>
    </row>
    <row r="111" spans="1:35" hidden="1" x14ac:dyDescent="0.35">
      <c r="A111" s="1"/>
      <c r="B111" s="1" t="s">
        <v>13</v>
      </c>
      <c r="C111" s="91"/>
      <c r="E111" s="262"/>
      <c r="F111" s="19">
        <f>F110*12</f>
        <v>51907.406413863471</v>
      </c>
      <c r="G111" s="19">
        <f>G110*12</f>
        <v>51907.406413863471</v>
      </c>
      <c r="H111" s="19">
        <f t="shared" ref="H111:AD111" si="30">H110*12</f>
        <v>63677.618241350887</v>
      </c>
      <c r="I111" s="19">
        <f t="shared" si="30"/>
        <v>63677.618241350887</v>
      </c>
      <c r="J111" s="19">
        <f t="shared" si="30"/>
        <v>78297.616613449718</v>
      </c>
      <c r="K111" s="19">
        <f t="shared" si="30"/>
        <v>78297.616613449718</v>
      </c>
      <c r="L111" s="19">
        <f t="shared" si="30"/>
        <v>93186.915330127827</v>
      </c>
      <c r="M111" s="19">
        <f t="shared" si="30"/>
        <v>93186.915330127827</v>
      </c>
      <c r="N111" s="19">
        <f t="shared" si="30"/>
        <v>118344.72259139045</v>
      </c>
      <c r="O111" s="19">
        <f>O110*12</f>
        <v>126170.22020809614</v>
      </c>
      <c r="P111" s="19">
        <f t="shared" si="30"/>
        <v>0</v>
      </c>
      <c r="Q111" s="19">
        <f t="shared" si="30"/>
        <v>0</v>
      </c>
      <c r="R111" s="19">
        <f t="shared" si="30"/>
        <v>0</v>
      </c>
      <c r="S111" s="19">
        <f t="shared" si="30"/>
        <v>0</v>
      </c>
      <c r="T111" s="19">
        <f t="shared" si="30"/>
        <v>0</v>
      </c>
      <c r="U111" s="19">
        <f t="shared" si="30"/>
        <v>0</v>
      </c>
      <c r="V111" s="19">
        <f t="shared" si="30"/>
        <v>0</v>
      </c>
      <c r="W111" s="19">
        <f t="shared" si="30"/>
        <v>0</v>
      </c>
      <c r="X111" s="19">
        <f t="shared" si="30"/>
        <v>0</v>
      </c>
      <c r="Y111" s="19">
        <f t="shared" si="30"/>
        <v>0</v>
      </c>
      <c r="Z111" s="19">
        <f t="shared" si="30"/>
        <v>0</v>
      </c>
      <c r="AA111" s="19">
        <f t="shared" si="30"/>
        <v>0</v>
      </c>
      <c r="AB111" s="19">
        <f t="shared" si="30"/>
        <v>0</v>
      </c>
      <c r="AC111" s="19">
        <f t="shared" si="30"/>
        <v>0</v>
      </c>
      <c r="AD111" s="19">
        <f t="shared" si="30"/>
        <v>0</v>
      </c>
    </row>
    <row r="112" spans="1:35" hidden="1" x14ac:dyDescent="0.35">
      <c r="A112" s="1"/>
      <c r="B112" s="1" t="s">
        <v>6</v>
      </c>
      <c r="C112" s="91"/>
      <c r="E112" s="262"/>
      <c r="F112" s="19">
        <f>$C$6*$C$7</f>
        <v>40064.999400000001</v>
      </c>
      <c r="G112" s="19">
        <f>F114*$C$7</f>
        <v>39161.492074487483</v>
      </c>
      <c r="H112" s="19">
        <f t="shared" ref="H112:AI112" si="31">G114*$C$7</f>
        <v>38189.052353196028</v>
      </c>
      <c r="I112" s="19">
        <f t="shared" si="31"/>
        <v>36244.421842709671</v>
      </c>
      <c r="J112" s="19">
        <f t="shared" si="31"/>
        <v>34151.427244619947</v>
      </c>
      <c r="K112" s="19">
        <f t="shared" si="31"/>
        <v>30783.327715402007</v>
      </c>
      <c r="L112" s="19">
        <f t="shared" si="31"/>
        <v>27158.261625742321</v>
      </c>
      <c r="M112" s="19">
        <f t="shared" si="31"/>
        <v>22120.656327613044</v>
      </c>
      <c r="N112" s="19">
        <f t="shared" si="31"/>
        <v>16698.710811775301</v>
      </c>
      <c r="O112" s="19">
        <f t="shared" si="31"/>
        <v>8943.7066015245218</v>
      </c>
      <c r="P112" s="19">
        <f t="shared" si="31"/>
        <v>0</v>
      </c>
      <c r="Q112" s="19">
        <f t="shared" si="31"/>
        <v>0</v>
      </c>
      <c r="R112" s="19">
        <f t="shared" si="31"/>
        <v>0</v>
      </c>
      <c r="S112" s="19">
        <f t="shared" si="31"/>
        <v>0</v>
      </c>
      <c r="T112" s="19">
        <f t="shared" si="31"/>
        <v>0</v>
      </c>
      <c r="U112" s="19">
        <f t="shared" si="31"/>
        <v>0</v>
      </c>
      <c r="V112" s="19">
        <f t="shared" si="31"/>
        <v>0</v>
      </c>
      <c r="W112" s="19">
        <f t="shared" si="31"/>
        <v>0</v>
      </c>
      <c r="X112" s="19">
        <f t="shared" si="31"/>
        <v>0</v>
      </c>
      <c r="Y112" s="19">
        <f t="shared" si="31"/>
        <v>0</v>
      </c>
      <c r="Z112" s="19">
        <f t="shared" si="31"/>
        <v>0</v>
      </c>
      <c r="AA112" s="19">
        <f t="shared" si="31"/>
        <v>0</v>
      </c>
      <c r="AB112" s="19">
        <f t="shared" si="31"/>
        <v>0</v>
      </c>
      <c r="AC112" s="19">
        <f t="shared" si="31"/>
        <v>0</v>
      </c>
      <c r="AD112" s="19">
        <f>AC114*$C$7</f>
        <v>0</v>
      </c>
      <c r="AE112" s="19">
        <f t="shared" si="31"/>
        <v>0</v>
      </c>
      <c r="AF112" s="19"/>
      <c r="AG112" s="19"/>
      <c r="AH112" s="19">
        <f t="shared" si="31"/>
        <v>0</v>
      </c>
      <c r="AI112" s="19">
        <f t="shared" si="31"/>
        <v>0</v>
      </c>
    </row>
    <row r="113" spans="1:35" hidden="1" x14ac:dyDescent="0.35">
      <c r="A113" s="1"/>
      <c r="B113" s="1" t="s">
        <v>14</v>
      </c>
      <c r="C113" s="91"/>
      <c r="E113" s="262"/>
      <c r="F113" s="19">
        <f>F111-F112</f>
        <v>11842.407013863471</v>
      </c>
      <c r="G113" s="19">
        <f>G111-G112</f>
        <v>12745.914339375988</v>
      </c>
      <c r="H113" s="19">
        <f t="shared" ref="H113:N113" si="32">H111-H112</f>
        <v>25488.565888154859</v>
      </c>
      <c r="I113" s="19">
        <f t="shared" si="32"/>
        <v>27433.196398641216</v>
      </c>
      <c r="J113" s="19">
        <f t="shared" si="32"/>
        <v>44146.189368829771</v>
      </c>
      <c r="K113" s="19">
        <f t="shared" si="32"/>
        <v>47514.288898047715</v>
      </c>
      <c r="L113" s="19">
        <f t="shared" si="32"/>
        <v>66028.653704385506</v>
      </c>
      <c r="M113" s="19">
        <f t="shared" si="32"/>
        <v>71066.25900251478</v>
      </c>
      <c r="N113" s="19">
        <f t="shared" si="32"/>
        <v>101646.01177961516</v>
      </c>
      <c r="O113" s="19">
        <f>O111-O112</f>
        <v>117226.51360657162</v>
      </c>
      <c r="P113" s="19"/>
      <c r="Q113" s="19"/>
      <c r="R113" s="19"/>
      <c r="S113" s="19"/>
      <c r="T113" s="19"/>
      <c r="U113" s="19"/>
      <c r="V113" s="19"/>
      <c r="W113" s="19"/>
      <c r="X113" s="19"/>
      <c r="Y113" s="19"/>
    </row>
    <row r="114" spans="1:35" hidden="1" x14ac:dyDescent="0.35">
      <c r="A114" s="1"/>
      <c r="B114" s="1" t="s">
        <v>8</v>
      </c>
      <c r="C114" s="91"/>
      <c r="E114" s="262"/>
      <c r="F114" s="19">
        <f>$C$6-F113</f>
        <v>513295.59298613656</v>
      </c>
      <c r="G114" s="19">
        <f>F114-G113</f>
        <v>500549.67864676059</v>
      </c>
      <c r="H114" s="19">
        <f t="shared" ref="H114:O114" si="33">G114-H113</f>
        <v>475061.11275860574</v>
      </c>
      <c r="I114" s="19">
        <f t="shared" si="33"/>
        <v>447627.91635996453</v>
      </c>
      <c r="J114" s="19">
        <f t="shared" si="33"/>
        <v>403481.72699113475</v>
      </c>
      <c r="K114" s="19">
        <f t="shared" si="33"/>
        <v>355967.43809308705</v>
      </c>
      <c r="L114" s="19">
        <f t="shared" si="33"/>
        <v>289938.78438870155</v>
      </c>
      <c r="M114" s="19">
        <f t="shared" si="33"/>
        <v>218872.52538618678</v>
      </c>
      <c r="N114" s="19">
        <f t="shared" si="33"/>
        <v>117226.51360657162</v>
      </c>
      <c r="O114" s="19">
        <f t="shared" si="33"/>
        <v>0</v>
      </c>
      <c r="P114" s="19"/>
      <c r="Q114" s="19"/>
      <c r="R114" s="19"/>
      <c r="S114" s="19"/>
      <c r="T114" s="19"/>
      <c r="U114" s="19"/>
      <c r="V114" s="19"/>
      <c r="W114" s="19"/>
      <c r="X114" s="19"/>
      <c r="Y114" s="19"/>
    </row>
    <row r="115" spans="1:35" hidden="1" x14ac:dyDescent="0.35">
      <c r="A115" s="1"/>
      <c r="C115" s="91"/>
      <c r="D115" s="8"/>
      <c r="E115" s="107" t="s">
        <v>31</v>
      </c>
      <c r="F115" s="14">
        <f>IF($C$6&lt;10000,PMT($C$7/12,12*12,(0.7)*-($C$6)),IF($C$6&lt;20000,PMT($C$7/12,15*12,(0.69)*-($C$6)),IF($C$6&lt;40000,PMT($C$7/12,20*12,(0.75)*-($C$6)),IF($C$6&lt;60000,PMT($C$7/12,25*12,(0.83)*-($C$6)),PMT($C$7/12,30*12,(0.88)*-($C$6))))))</f>
        <v>3272.2728476130824</v>
      </c>
      <c r="G115" s="14">
        <f>IF($C$6&lt;10000,PMT($C$7/12,12*12,(0.7)*-($C$6)),IF($C$6&lt;20000,PMT($C$7/12,15*12,(0.69)*-($C$6)),IF($C$6&lt;40000,PMT($C$7/12,20*12,(0.75)*-($C$6)),IF($C$6&lt;60000,PMT($C$7/12,25*12,(0.83)*-($C$6)),PMT($C$7/12,30*12,(0.88)*-($C$6))))))</f>
        <v>3272.2728476130824</v>
      </c>
      <c r="H115" s="14">
        <f>IF($C$6&lt;10000,PMT($C$7/12,10*12,(0.75)*-($G$119)),IF($C$6&lt;20000,PMT($C$7/12,13*12,(0.72)*-($G$119)),IF($C$6&lt;40000,PMT($C$7/12,(20-$G$73)*12,(0.78)*-($G$119)),IF($C$6&lt;60000,PMT($C$7/12,(25-$G$73)*12,(0.84)*-($G$119)),PMT($C$7/12,(30-2)*12,(0.89)*-($G$119))))))</f>
        <v>3383.1099803084348</v>
      </c>
      <c r="I115" s="14">
        <f>IF($C$6&lt;10000,PMT($C$7/12,10*12,(0.75)*-($G$119)),IF($C$6&lt;20000,PMT($C$7/12,13*12,(0.72)*-($G$119)),IF($C$6&lt;40000,PMT($C$7/12,(20-$G$73)*12,(0.78)*-($G$119)),IF($C$6&lt;60000,PMT($C$7/12,(25-$G$73)*12,(0.84)*-($G$119)),PMT($C$7/12,(30-2)*12,(0.89)*-($G$119))))))</f>
        <v>3383.1099803084348</v>
      </c>
      <c r="J115" s="14">
        <f>IF($C$6&lt;10000,PMT($C$7/12,8*12,(0.81)*-($I$119)),IF($C$6&lt;20000,PMT($C$7/12,11*12,(0.76)*-($I$119)),IF($C$6&lt;40000,PMT($C$7/12,(20-$I73)*12,(0.8)*-($I$119)),IF($C$6&lt;60000,PMT($C$7/12,(25-$I$73)*12,(0.85)*-($I$119)),PMT($C$7/12,(30-4)*12,(0.89)*-($I$119))))))</f>
        <v>3454.2750150167931</v>
      </c>
      <c r="K115" s="14">
        <f>IF($C$6&lt;10000,PMT($C$7/12,8*12,(0.81)*-($I$119)),IF($C$6&lt;20000,PMT($C$7/12,11*12,(0.76)*-($I$119)),IF($C$6&lt;40000,PMT($C$7/12,(20-$I73)*12,(0.8)*-($I$119)),IF($C$6&lt;60000,PMT($C$7/12,(25-$I$73)*12,(0.85)*-($I$119)),PMT($C$7/12,(30-4)*12,(0.89)*-($I$119))))))</f>
        <v>3454.2750150167931</v>
      </c>
      <c r="L115" s="14">
        <f>IF($C$6&lt;10000,PMT($C$7/12,6*12,(0.87)*-($K$119)),IF($C$6&lt;20000,PMT($C$7/12,9*12,(0.81)*-($K$119)),IF($C$6&lt;40000,PMT($C$7/12,(20-$K$73)*12,(0.82)*-($K$119)),IF($C$6&lt;60000,PMT($C$7/12,(25-$K$73)*12,(0.87)*-($K$119)),PMT($C$7/12,(30-6)*12,(0.9)*-($K$119))))))</f>
        <v>3569.0354561763406</v>
      </c>
      <c r="M115" s="14">
        <f>IF($C$6&lt;10000,PMT($C$7/12,6*12,(0.87)*-($K$119)),IF($C$6&lt;20000,PMT($C$7/12,9*12,(0.81)*-($K$119)),IF($C$6&lt;40000,PMT($C$7/12,(20-$K$73)*12,(0.82)*-($K$119)),IF($C$6&lt;60000,PMT($C$7/12,(25-$K$73)*12,(0.87)*-($K$119)),PMT($C$7/12,(30-6)*12,(0.9)*-($K$119))))))</f>
        <v>3569.0354561763406</v>
      </c>
      <c r="N115" s="14">
        <f>IF($C$6&lt;10000,PMT($C$7/12,4*12,0.93*-($M$119)),IF($C$6&lt;20000,PMT($C$7/12,7*12,(0.85)*-($M$119)),IF($C$6&lt;40000,PMT($C$7/12,(20-$M$73)*12,(0.85)*-($M$119)),IF($C$6&lt;60000,PMT($C$7/12,(25-$M$73)*12,(0.88)*-($M$119)),PMT($C$7/12,(30-8)*12,(0.91)*-($M$119))))))</f>
        <v>3683.267128824903</v>
      </c>
      <c r="O115" s="14">
        <f>IF($C$6&lt;10000,PMT($C$7/12,4*12,0.93*-($M$119)),IF($C$6&lt;20000,PMT($C$7/12,7*12,(0.85)*-($M$119)),IF($C$6&lt;40000,PMT($C$7/12,(20-$M$73)*12,(0.85)*-($M$119)),IF($C$6&lt;60000,PMT($C$7/12,(25-$M$73)*12,(0.88)*-($M$119)),PMT($C$7/12,(30-8)*12,(0.91)*-($M$119))))))</f>
        <v>3683.267128824903</v>
      </c>
      <c r="P115" s="14">
        <f>IF($C$6&lt;10000,PMT($C$7/12,2*12,-($O$119)),IF($C$6&lt;20000,PMT($C$7/12,5*12,(0.9)*-($O$119)),IF($C$6&lt;40000,PMT($C$7/12,(20-$O$73)*12,(0.88)*-($O$119)),IF($C$6&lt;60000,PMT($C$7/12,(25-$O$73)*12,(0.89)*-($O$119)),PMT($C$7/12,(30-10)*12,(0.915)*-($O$119))))))</f>
        <v>3776.2892330978311</v>
      </c>
      <c r="Q115" s="14">
        <f>IF($C$6&lt;10000,(PMT($C$7/12,2*12,-($O$119)))+(((P115*12)-((P115*12)-(P119*$C$7)))/12),IF($C$6&lt;20000,PMT($C$7/12,5*12,(0.9)*-($O$119)),IF($C$6&lt;40000,PMT($C$7/12,(20-$O$73)*12,(0.88)*-($O$119)),IF($C$6&lt;60000,PMT($C$7/12,(25-$O$73)*12,(0.89)*-($O$119)),PMT($C$7/12,(30-10)*12,(0.915)*-($O$119))))))</f>
        <v>3776.2892330978311</v>
      </c>
      <c r="R115" s="14">
        <f>IF($C$6&lt;10000,0,IF($C$6&lt;20000,PMT($C$7/12,3*12,(0.94)*-($Q$119)),IF($C$6&lt;40000,PMT($C$7/12,(20-$Q$73)*12,(0.9)*-($Q$119)),IF($C$6&lt;60000,PMT($C$7/12,(25-$Q$73)*12,(0.91)*-($Q$119)),PMT($C$7/12,(30-12)*12,(0.925)*-($Q$119))))))</f>
        <v>3893.069486410755</v>
      </c>
      <c r="S115" s="14">
        <f>IF($C$6&lt;10000,0,IF($C$6&lt;20000,PMT($C$7/12,3*12,(0.94)*-($Q$119)),IF($C$6&lt;40000,PMT($C$7/12,(20-$Q$73)*12,(0.9)*-($Q$119)),IF($C$6&lt;60000,PMT($C$7/12,(25-$Q$73)*12,(0.91)*-($Q$119)),PMT($C$7/12,(30-12)*12,(0.925)*-($Q$119))))))</f>
        <v>3893.069486410755</v>
      </c>
      <c r="T115" s="14">
        <f>IF($C$6&lt;10000,0,IF($C$6&lt;20000,(PMT($C$7/12,12,-($S$119))),IF($C$6&lt;40000,PMT($C$7/12,(20-$S$73)*12,(0.93)*-($S$119)),IF($C$6&lt;60000,PMT($C$7/12,(25-$S$73)*12,(0.92)*-($S$119)),PMT($C$7/12,(30-14)*12,(0.935)*-($S$119))))))</f>
        <v>4009.9354659889441</v>
      </c>
      <c r="U115" s="14">
        <f>IF($C$6&lt;20000,0,IF($C$6&lt;40000,PMT($C$7/12,(20-$S$73)*12,(0.93)*-($S$119)),IF($C$6&lt;60000,PMT($C$7/12,(25-$S$73)*12,(0.92)*-($S$119)),PMT($C$7/12,(30-14)*12,(0.935)*-($S$119)))))</f>
        <v>4009.9354659889441</v>
      </c>
      <c r="V115" s="14">
        <f>IF($C$6&lt;10000,0,IF($C$6&lt;20000,0,IF($C$6&lt;40000,PMT($C$7/12,(20-$U$73)*12,(0.96)*-($U$119)),IF($C$6&lt;60000,PMT($C$7/12,(25-$U$73)*12,(0.94)*-($U$119)),PMT($C$7/12,(30-16)*12,(0.945)*-($U$119))))))</f>
        <v>4127.2758815215693</v>
      </c>
      <c r="W115" s="14">
        <f>IF($C$6&lt;10000,0,IF($C$6&lt;20000,0,IF($C$6&lt;40000,PMT($C$7/12,(20-$U$73)*12,(0.96)*-($U$119)),IF($C$6&lt;60000,PMT($C$7/12,(25-$U$73)*12,(0.94)*-($U$119)),PMT($C$7/12,(30-16)*12,(0.945)*-($U$119))))))</f>
        <v>4127.2758815215693</v>
      </c>
      <c r="X115" s="14">
        <f>IF($C$6&lt;10000,0,IF($C$6&lt;20000,0,IF($C$6&lt;40000,PMT($C$7/12,(20-$W$73)*12,-($W$119)),IF($C$6&lt;60000,PMT($C$7/12,(25-$W$73)*12,(0.96)*-($W$119)),PMT($C$7/12,(30-18)*12,(0.955)*-($W$119))))))</f>
        <v>4245.7788283778345</v>
      </c>
      <c r="Y115" s="14">
        <f>IF($C$6&lt;10000,0,IF($C$6&lt;20000,0,IF($C$6&lt;40000,(PMT($C$7/12,(20-$W$73)*12,-($W$119)))+(((X115*12)-((X115*12)-(X119*$C$7)))/12),IF($C$6&lt;60000,PMT($C$7/12,(25-$W$73)*12,(0.96)*-($W$119)),PMT($C$7/12,(30-18)*12,(0.955)*-($W$119))))))</f>
        <v>4245.7788283778345</v>
      </c>
      <c r="Z115" s="14">
        <f>IF($C$6&lt;40000,0,IF($C$6&lt;60000,PMT($C$7/12,(25-$Y$73)*12,(0.97)*-($Y$119)),PMT($C$7/12,(30-20)*12,(0.965)*-($Y$119))))</f>
        <v>4366.6565617678034</v>
      </c>
      <c r="AA115" s="14">
        <f>IF($C$6&lt;40000,0,IF($C$6&lt;60000,PMT($C$7/12,(25-$Y$73)*12,(0.97)*-($Y$119)),PMT($C$7/12,(30-20)*12,(0.965)*-($Y$119))))</f>
        <v>4366.6565617678034</v>
      </c>
      <c r="AB115" s="14">
        <f>IF($C$6&lt;40000,0,IF($C$6&lt;60000,PMT($C$7/12,(25-$AA$73)*12,(0.98)*-($AA$119)),PMT($C$7/12,(30-22)*12,(0.975)*-($AA$119))))</f>
        <v>4492.1496217477425</v>
      </c>
      <c r="AC115" s="14">
        <f>IF($C$6&lt;40000,0,IF($C$6&lt;60000,PMT($C$7/12,(25-$AA$73)*12,(0.98)*-($AA$119)),PMT($C$7/12,(30-22)*12,(0.975)*-($AA$119))))</f>
        <v>4492.1496217477425</v>
      </c>
      <c r="AD115" s="14">
        <f>IF($C$6&lt;40000,0,IF($C$6&lt;60000,PMT($C$7/12,12,-($AC$119)),PMT($C$7/12,(30-24)*12,(0.985)*-($AC$119))))</f>
        <v>4626.8697235866421</v>
      </c>
      <c r="AE115" s="14">
        <f>IF($C$6&lt;60000,0,PMT($C$7/12,(30-24)*12,(0.985)*-($AC$119)))</f>
        <v>4626.8697235866421</v>
      </c>
      <c r="AF115" s="14"/>
      <c r="AG115" s="14"/>
      <c r="AH115" s="14">
        <f>IF($C$6&lt;60000,0,PMT($C$7/12,(30-28)*12,-($AG$119)))</f>
        <v>0</v>
      </c>
      <c r="AI115" s="14">
        <f>IF($C$6&lt;60000,0,(PMT($C$7/12,(30-28)*12,-($AG$119)))+(((AH115*12)-((AH115*12)-(AH119*$C$7)))/12))</f>
        <v>0</v>
      </c>
    </row>
    <row r="116" spans="1:35" hidden="1" x14ac:dyDescent="0.35">
      <c r="A116" s="1"/>
      <c r="B116" s="1" t="s">
        <v>15</v>
      </c>
      <c r="C116" s="91"/>
      <c r="E116" s="92"/>
      <c r="F116" s="19">
        <f>F115*12</f>
        <v>39267.274171356985</v>
      </c>
      <c r="G116" s="19">
        <f>G115*12</f>
        <v>39267.274171356985</v>
      </c>
      <c r="H116" s="19">
        <f t="shared" ref="H116:N116" si="34">H115*12</f>
        <v>40597.31976370122</v>
      </c>
      <c r="I116" s="19">
        <f t="shared" si="34"/>
        <v>40597.31976370122</v>
      </c>
      <c r="J116" s="19">
        <f t="shared" si="34"/>
        <v>41451.300180201521</v>
      </c>
      <c r="K116" s="19">
        <f t="shared" si="34"/>
        <v>41451.300180201521</v>
      </c>
      <c r="L116" s="19">
        <f t="shared" si="34"/>
        <v>42828.425474116084</v>
      </c>
      <c r="M116" s="19">
        <f t="shared" si="34"/>
        <v>42828.425474116084</v>
      </c>
      <c r="N116" s="19">
        <f t="shared" si="34"/>
        <v>44199.205545898832</v>
      </c>
      <c r="O116" s="19">
        <f>O115*12</f>
        <v>44199.205545898832</v>
      </c>
      <c r="P116" s="19">
        <f t="shared" ref="P116:AI116" si="35">P115*12</f>
        <v>45315.47079717397</v>
      </c>
      <c r="Q116" s="19">
        <f t="shared" si="35"/>
        <v>45315.47079717397</v>
      </c>
      <c r="R116" s="26">
        <f t="shared" si="35"/>
        <v>46716.833836929058</v>
      </c>
      <c r="S116" s="26">
        <f t="shared" si="35"/>
        <v>46716.833836929058</v>
      </c>
      <c r="T116" s="26">
        <f t="shared" si="35"/>
        <v>48119.225591867333</v>
      </c>
      <c r="U116" s="26">
        <f t="shared" si="35"/>
        <v>48119.225591867333</v>
      </c>
      <c r="V116" s="26">
        <f t="shared" si="35"/>
        <v>49527.310578258832</v>
      </c>
      <c r="W116" s="26">
        <f t="shared" si="35"/>
        <v>49527.310578258832</v>
      </c>
      <c r="X116" s="26">
        <f t="shared" si="35"/>
        <v>50949.345940534011</v>
      </c>
      <c r="Y116" s="26">
        <f t="shared" si="35"/>
        <v>50949.345940534011</v>
      </c>
      <c r="Z116" s="26">
        <f t="shared" si="35"/>
        <v>52399.878741213644</v>
      </c>
      <c r="AA116" s="26">
        <f t="shared" si="35"/>
        <v>52399.878741213644</v>
      </c>
      <c r="AB116" s="26">
        <f t="shared" si="35"/>
        <v>53905.795460972906</v>
      </c>
      <c r="AC116" s="1">
        <f t="shared" si="35"/>
        <v>53905.795460972906</v>
      </c>
      <c r="AD116" s="1">
        <f t="shared" si="35"/>
        <v>55522.436683039705</v>
      </c>
      <c r="AE116" s="1">
        <f t="shared" si="35"/>
        <v>55522.436683039705</v>
      </c>
      <c r="AH116" s="1">
        <f t="shared" si="35"/>
        <v>0</v>
      </c>
      <c r="AI116" s="1">
        <f t="shared" si="35"/>
        <v>0</v>
      </c>
    </row>
    <row r="117" spans="1:35" hidden="1" x14ac:dyDescent="0.35">
      <c r="A117" s="1"/>
      <c r="B117" s="1" t="s">
        <v>6</v>
      </c>
      <c r="C117" s="91"/>
      <c r="E117" s="92"/>
      <c r="F117" s="19">
        <f>$C$6*$C$7</f>
        <v>40064.999400000001</v>
      </c>
      <c r="G117" s="19">
        <f t="shared" ref="G117:P117" si="36">IF(G115=0,0,F119*$C$7)</f>
        <v>40125.861232141171</v>
      </c>
      <c r="H117" s="19">
        <f t="shared" si="36"/>
        <v>40191.366470907298</v>
      </c>
      <c r="I117" s="19">
        <f t="shared" si="36"/>
        <v>40160.39457698186</v>
      </c>
      <c r="J117" s="19">
        <f t="shared" si="36"/>
        <v>40127.059706255008</v>
      </c>
      <c r="K117" s="19">
        <f t="shared" si="36"/>
        <v>40026.027798843767</v>
      </c>
      <c r="L117" s="19">
        <f t="shared" si="36"/>
        <v>39917.287739842257</v>
      </c>
      <c r="M117" s="19">
        <f t="shared" si="36"/>
        <v>39695.184727725449</v>
      </c>
      <c r="N117" s="19">
        <f t="shared" si="36"/>
        <v>39456.136537298938</v>
      </c>
      <c r="O117" s="19">
        <f t="shared" si="36"/>
        <v>39094.267739033123</v>
      </c>
      <c r="P117" s="19">
        <f t="shared" si="36"/>
        <v>38704.790439410717</v>
      </c>
      <c r="Q117" s="19">
        <f>IF(Q115=0,0,P119*$C$7)</f>
        <v>38200.433671156701</v>
      </c>
      <c r="R117" s="19">
        <f>IF(R115=0,0,Q119*$C$7)</f>
        <v>37657.597391579031</v>
      </c>
      <c r="S117" s="19">
        <f t="shared" ref="S117:AI117" si="37">IF(S115=0,0,R119*$C$7)</f>
        <v>36966.429921795068</v>
      </c>
      <c r="T117" s="19">
        <f t="shared" si="37"/>
        <v>36222.530362042016</v>
      </c>
      <c r="U117" s="19">
        <f t="shared" si="37"/>
        <v>35314.881158889824</v>
      </c>
      <c r="V117" s="19">
        <f t="shared" si="37"/>
        <v>34337.98355859307</v>
      </c>
      <c r="W117" s="19">
        <f t="shared" si="37"/>
        <v>33179.125548071432</v>
      </c>
      <c r="X117" s="19">
        <f t="shared" si="37"/>
        <v>31931.853357855627</v>
      </c>
      <c r="Y117" s="19">
        <f t="shared" si="37"/>
        <v>30480.928403054197</v>
      </c>
      <c r="Z117" s="19">
        <f t="shared" si="37"/>
        <v>28919.306245910589</v>
      </c>
      <c r="AA117" s="19">
        <f t="shared" si="37"/>
        <v>27127.874045353834</v>
      </c>
      <c r="AB117" s="19">
        <f t="shared" si="37"/>
        <v>25199.765904300588</v>
      </c>
      <c r="AC117" s="19">
        <f t="shared" si="37"/>
        <v>23009.661480388284</v>
      </c>
      <c r="AD117" s="19">
        <f t="shared" si="37"/>
        <v>20652.464725641068</v>
      </c>
      <c r="AE117" s="19">
        <f t="shared" si="37"/>
        <v>17992.087061958013</v>
      </c>
      <c r="AF117" s="19"/>
      <c r="AG117" s="19"/>
      <c r="AH117" s="19">
        <f t="shared" si="37"/>
        <v>0</v>
      </c>
      <c r="AI117" s="19">
        <f t="shared" si="37"/>
        <v>0</v>
      </c>
    </row>
    <row r="118" spans="1:35" hidden="1" x14ac:dyDescent="0.35">
      <c r="A118" s="1"/>
      <c r="B118" s="1" t="s">
        <v>14</v>
      </c>
      <c r="C118" s="91"/>
      <c r="E118" s="92"/>
      <c r="F118" s="19">
        <f>F116-F117</f>
        <v>-797.72522864301573</v>
      </c>
      <c r="G118" s="19">
        <f>G116-G117</f>
        <v>-858.58706078418618</v>
      </c>
      <c r="H118" s="19">
        <f t="shared" ref="H118:N118" si="38">H116-H117</f>
        <v>405.95329279392172</v>
      </c>
      <c r="I118" s="19">
        <f t="shared" si="38"/>
        <v>436.92518671935977</v>
      </c>
      <c r="J118" s="19">
        <f t="shared" si="38"/>
        <v>1324.2404739465128</v>
      </c>
      <c r="K118" s="19">
        <f t="shared" si="38"/>
        <v>1425.2723813577541</v>
      </c>
      <c r="L118" s="19">
        <f t="shared" si="38"/>
        <v>2911.1377342738269</v>
      </c>
      <c r="M118" s="19">
        <f t="shared" si="38"/>
        <v>3133.2407463906347</v>
      </c>
      <c r="N118" s="19">
        <f t="shared" si="38"/>
        <v>4743.069008599894</v>
      </c>
      <c r="O118" s="19">
        <f>O116-O117</f>
        <v>5104.9378068657097</v>
      </c>
      <c r="P118" s="19">
        <f t="shared" ref="P118:AI118" si="39">P116-P117</f>
        <v>6610.6803577632527</v>
      </c>
      <c r="Q118" s="19">
        <f t="shared" si="39"/>
        <v>7115.0371260172687</v>
      </c>
      <c r="R118" s="19">
        <f t="shared" si="39"/>
        <v>9059.2364453500268</v>
      </c>
      <c r="S118" s="19">
        <f t="shared" si="39"/>
        <v>9750.4039151339894</v>
      </c>
      <c r="T118" s="19">
        <f t="shared" si="39"/>
        <v>11896.695229825316</v>
      </c>
      <c r="U118" s="19">
        <f t="shared" si="39"/>
        <v>12804.344432977508</v>
      </c>
      <c r="V118" s="19">
        <f t="shared" si="39"/>
        <v>15189.327019665761</v>
      </c>
      <c r="W118" s="19">
        <f t="shared" si="39"/>
        <v>16348.1850301874</v>
      </c>
      <c r="X118" s="19">
        <f t="shared" si="39"/>
        <v>19017.492582678384</v>
      </c>
      <c r="Y118" s="19">
        <f t="shared" si="39"/>
        <v>20468.417537479814</v>
      </c>
      <c r="Z118" s="19">
        <f t="shared" si="39"/>
        <v>23480.572495303055</v>
      </c>
      <c r="AA118" s="19">
        <f t="shared" si="39"/>
        <v>25272.00469585981</v>
      </c>
      <c r="AB118" s="19">
        <f t="shared" si="39"/>
        <v>28706.029556672318</v>
      </c>
      <c r="AC118" s="19">
        <f t="shared" si="39"/>
        <v>30896.133980584622</v>
      </c>
      <c r="AD118" s="19">
        <f t="shared" si="39"/>
        <v>34869.971957398637</v>
      </c>
      <c r="AE118" s="19">
        <f t="shared" si="39"/>
        <v>37530.349621081696</v>
      </c>
      <c r="AF118" s="19"/>
      <c r="AG118" s="19"/>
      <c r="AH118" s="19">
        <f t="shared" si="39"/>
        <v>0</v>
      </c>
      <c r="AI118" s="19">
        <f t="shared" si="39"/>
        <v>0</v>
      </c>
    </row>
    <row r="119" spans="1:35" hidden="1" x14ac:dyDescent="0.35">
      <c r="A119" s="1"/>
      <c r="B119" s="1" t="s">
        <v>8</v>
      </c>
      <c r="C119" s="91"/>
      <c r="E119" s="92"/>
      <c r="F119" s="19">
        <f>$C$6-F118</f>
        <v>525935.72522864304</v>
      </c>
      <c r="G119" s="19">
        <f t="shared" ref="G119:Q119" si="40">IF(G115=0,0,F119-G118)</f>
        <v>526794.31228942727</v>
      </c>
      <c r="H119" s="19">
        <f t="shared" si="40"/>
        <v>526388.35899663332</v>
      </c>
      <c r="I119" s="19">
        <f t="shared" si="40"/>
        <v>525951.43380991393</v>
      </c>
      <c r="J119" s="19">
        <f t="shared" si="40"/>
        <v>524627.19333596737</v>
      </c>
      <c r="K119" s="19">
        <f t="shared" si="40"/>
        <v>523201.92095460964</v>
      </c>
      <c r="L119" s="19">
        <f t="shared" si="40"/>
        <v>520290.78322033584</v>
      </c>
      <c r="M119" s="19">
        <f t="shared" si="40"/>
        <v>517157.54247394518</v>
      </c>
      <c r="N119" s="19">
        <f t="shared" si="40"/>
        <v>512414.47346534528</v>
      </c>
      <c r="O119" s="19">
        <f t="shared" si="40"/>
        <v>507309.53565847955</v>
      </c>
      <c r="P119" s="19">
        <f t="shared" si="40"/>
        <v>500698.8553007163</v>
      </c>
      <c r="Q119" s="19">
        <f t="shared" si="40"/>
        <v>493583.81817469903</v>
      </c>
      <c r="R119" s="19">
        <f>IF(R115=0,0,Q119-R118)</f>
        <v>484524.58172934898</v>
      </c>
      <c r="S119" s="19">
        <f t="shared" ref="S119:AI119" si="41">IF(S115=0,0,R119-S118)</f>
        <v>474774.17781421501</v>
      </c>
      <c r="T119" s="19">
        <f t="shared" si="41"/>
        <v>462877.48258438968</v>
      </c>
      <c r="U119" s="19">
        <f t="shared" si="41"/>
        <v>450073.13815141219</v>
      </c>
      <c r="V119" s="19">
        <f t="shared" si="41"/>
        <v>434883.81113174645</v>
      </c>
      <c r="W119" s="19">
        <f t="shared" si="41"/>
        <v>418535.62610155903</v>
      </c>
      <c r="X119" s="19">
        <f t="shared" si="41"/>
        <v>399518.13351888064</v>
      </c>
      <c r="Y119" s="19">
        <f t="shared" si="41"/>
        <v>379049.7159814008</v>
      </c>
      <c r="Z119" s="19">
        <f t="shared" si="41"/>
        <v>355569.14348609775</v>
      </c>
      <c r="AA119" s="19">
        <f t="shared" si="41"/>
        <v>330297.13879023795</v>
      </c>
      <c r="AB119" s="19">
        <f t="shared" si="41"/>
        <v>301591.10923356563</v>
      </c>
      <c r="AC119" s="19">
        <f t="shared" si="41"/>
        <v>270694.97525298101</v>
      </c>
      <c r="AD119" s="19">
        <f t="shared" si="41"/>
        <v>235825.00329558237</v>
      </c>
      <c r="AE119" s="19">
        <f t="shared" si="41"/>
        <v>198294.65367450067</v>
      </c>
      <c r="AF119" s="19"/>
      <c r="AG119" s="19"/>
      <c r="AH119" s="19">
        <f t="shared" si="41"/>
        <v>0</v>
      </c>
      <c r="AI119" s="19">
        <f t="shared" si="41"/>
        <v>0</v>
      </c>
    </row>
    <row r="120" spans="1:35" hidden="1" x14ac:dyDescent="0.35">
      <c r="A120" s="1"/>
      <c r="C120" s="91"/>
      <c r="E120" s="92"/>
      <c r="F120" s="19"/>
      <c r="G120" s="19"/>
      <c r="H120" s="19"/>
      <c r="I120" s="19"/>
      <c r="J120" s="19"/>
      <c r="K120" s="19"/>
      <c r="L120" s="19"/>
      <c r="M120" s="19"/>
      <c r="N120" s="19"/>
      <c r="O120" s="19"/>
      <c r="P120" s="19"/>
      <c r="Q120" s="19"/>
      <c r="R120" s="19"/>
      <c r="S120" s="19"/>
      <c r="T120" s="19"/>
      <c r="U120" s="19"/>
      <c r="V120" s="19"/>
      <c r="W120" s="19"/>
      <c r="X120" s="19"/>
      <c r="Y120" s="19"/>
    </row>
    <row r="121" spans="1:35" hidden="1" x14ac:dyDescent="0.35">
      <c r="A121" s="1"/>
      <c r="B121" s="85" t="s">
        <v>76</v>
      </c>
      <c r="C121" s="91"/>
      <c r="E121" s="92"/>
      <c r="F121" s="223">
        <f t="shared" ref="F121:AD121" si="42">MAX(0,F76-F77)+N("Annual income minus exemption")</f>
        <v>59945</v>
      </c>
      <c r="G121" s="223">
        <f t="shared" si="42"/>
        <v>84801.859499999991</v>
      </c>
      <c r="H121" s="223">
        <f t="shared" si="42"/>
        <v>157667.59617345</v>
      </c>
      <c r="I121" s="223">
        <f t="shared" si="42"/>
        <v>330981.93083740358</v>
      </c>
      <c r="J121" s="223">
        <f t="shared" si="42"/>
        <v>341004.57730142243</v>
      </c>
      <c r="K121" s="223">
        <f t="shared" si="42"/>
        <v>351330.24219168816</v>
      </c>
      <c r="L121" s="223">
        <f t="shared" si="42"/>
        <v>579513.62477069953</v>
      </c>
      <c r="M121" s="223">
        <f t="shared" si="42"/>
        <v>596999.41675244411</v>
      </c>
      <c r="N121" s="223">
        <f t="shared" si="42"/>
        <v>615012.30211293045</v>
      </c>
      <c r="O121" s="223">
        <f t="shared" si="42"/>
        <v>633568.15689596499</v>
      </c>
      <c r="P121" s="223">
        <f t="shared" si="42"/>
        <v>652683.33501405374</v>
      </c>
      <c r="Q121" s="223">
        <f t="shared" si="42"/>
        <v>672374.68262430653</v>
      </c>
      <c r="R121" s="223">
        <f t="shared" si="42"/>
        <v>692659.55293661868</v>
      </c>
      <c r="S121" s="223">
        <f t="shared" si="42"/>
        <v>713555.82146712299</v>
      </c>
      <c r="T121" s="223">
        <f t="shared" si="42"/>
        <v>735081.90175029694</v>
      </c>
      <c r="U121" s="223">
        <f t="shared" si="42"/>
        <v>757256.76152350905</v>
      </c>
      <c r="V121" s="223">
        <f t="shared" si="42"/>
        <v>780099.93939820712</v>
      </c>
      <c r="W121" s="223">
        <f t="shared" si="42"/>
        <v>803631.56203237397</v>
      </c>
      <c r="X121" s="223">
        <f t="shared" si="42"/>
        <v>827872.3618193164</v>
      </c>
      <c r="Y121" s="223">
        <f t="shared" si="42"/>
        <v>852843.69510830904</v>
      </c>
      <c r="Z121" s="223">
        <f t="shared" si="42"/>
        <v>878567.56097307533</v>
      </c>
      <c r="AA121" s="223">
        <f t="shared" si="42"/>
        <v>905066.62054457352</v>
      </c>
      <c r="AB121" s="223">
        <f t="shared" si="42"/>
        <v>932364.21692504862</v>
      </c>
      <c r="AC121" s="223">
        <f t="shared" si="42"/>
        <v>960484.39570081781</v>
      </c>
      <c r="AD121" s="224">
        <f t="shared" si="42"/>
        <v>989451.92607178737</v>
      </c>
      <c r="AE121" s="19"/>
      <c r="AF121" s="19"/>
      <c r="AG121" s="19"/>
      <c r="AH121" s="19">
        <f t="shared" ref="AH121:AI121" si="43">AH76-AH77+N("Annual income minus exemption")</f>
        <v>0</v>
      </c>
      <c r="AI121" s="19">
        <f t="shared" si="43"/>
        <v>0</v>
      </c>
    </row>
    <row r="122" spans="1:35" ht="16" hidden="1" thickBot="1" x14ac:dyDescent="0.4">
      <c r="A122" s="1"/>
      <c r="B122" s="88" t="s">
        <v>77</v>
      </c>
      <c r="C122" s="91"/>
      <c r="E122" s="92"/>
      <c r="F122" s="225">
        <f>F121*$C$11+N("Income minus poverty rate for family size multiplied by the percentage of share of income you must pay")</f>
        <v>8991.75</v>
      </c>
      <c r="G122" s="225">
        <f t="shared" ref="G122:AD122" si="44">G121*$C$11+N("Income minus exemption multiplied by the percentage of share of income you must pay")</f>
        <v>12720.278924999999</v>
      </c>
      <c r="H122" s="225">
        <f t="shared" si="44"/>
        <v>23650.1394260175</v>
      </c>
      <c r="I122" s="225">
        <f t="shared" si="44"/>
        <v>49647.289625610538</v>
      </c>
      <c r="J122" s="225">
        <f t="shared" si="44"/>
        <v>51150.686595213359</v>
      </c>
      <c r="K122" s="225">
        <f t="shared" si="44"/>
        <v>52699.536328753224</v>
      </c>
      <c r="L122" s="225">
        <f t="shared" si="44"/>
        <v>86927.04371560493</v>
      </c>
      <c r="M122" s="225">
        <f t="shared" si="44"/>
        <v>89549.91251286662</v>
      </c>
      <c r="N122" s="225">
        <f t="shared" si="44"/>
        <v>92251.845316939565</v>
      </c>
      <c r="O122" s="225">
        <f t="shared" si="44"/>
        <v>95035.22353439474</v>
      </c>
      <c r="P122" s="225">
        <f t="shared" si="44"/>
        <v>97902.500252108061</v>
      </c>
      <c r="Q122" s="225">
        <f t="shared" si="44"/>
        <v>100856.20239364597</v>
      </c>
      <c r="R122" s="225">
        <f t="shared" si="44"/>
        <v>103898.9329404928</v>
      </c>
      <c r="S122" s="225">
        <f t="shared" si="44"/>
        <v>107033.37322006845</v>
      </c>
      <c r="T122" s="225">
        <f t="shared" si="44"/>
        <v>110262.28526254454</v>
      </c>
      <c r="U122" s="225">
        <f t="shared" si="44"/>
        <v>113588.51422852636</v>
      </c>
      <c r="V122" s="225">
        <f t="shared" si="44"/>
        <v>117014.99090973106</v>
      </c>
      <c r="W122" s="225">
        <f t="shared" si="44"/>
        <v>120544.73430485609</v>
      </c>
      <c r="X122" s="225">
        <f t="shared" si="44"/>
        <v>124180.85427289746</v>
      </c>
      <c r="Y122" s="225">
        <f t="shared" si="44"/>
        <v>127926.55426624636</v>
      </c>
      <c r="Z122" s="225">
        <f t="shared" si="44"/>
        <v>131785.13414596129</v>
      </c>
      <c r="AA122" s="225">
        <f t="shared" si="44"/>
        <v>135759.99308168603</v>
      </c>
      <c r="AB122" s="225">
        <f t="shared" si="44"/>
        <v>139854.63253875729</v>
      </c>
      <c r="AC122" s="225">
        <f t="shared" si="44"/>
        <v>144072.65935512265</v>
      </c>
      <c r="AD122" s="226">
        <f t="shared" si="44"/>
        <v>148417.78891076811</v>
      </c>
      <c r="AE122" s="19"/>
      <c r="AF122" s="19"/>
      <c r="AG122" s="19"/>
      <c r="AH122" s="19"/>
      <c r="AI122" s="19"/>
    </row>
    <row r="123" spans="1:35" hidden="1" x14ac:dyDescent="0.35">
      <c r="A123" s="1"/>
      <c r="C123" s="91"/>
      <c r="E123" s="96" t="s">
        <v>79</v>
      </c>
      <c r="F123" s="14">
        <f t="shared" ref="F123:AD123" si="45">MAX(0,F121*0.1)</f>
        <v>5994.5</v>
      </c>
      <c r="G123" s="14">
        <f t="shared" si="45"/>
        <v>8480.1859499999991</v>
      </c>
      <c r="H123" s="14">
        <f t="shared" si="45"/>
        <v>15766.759617345</v>
      </c>
      <c r="I123" s="14">
        <f t="shared" si="45"/>
        <v>33098.193083740356</v>
      </c>
      <c r="J123" s="14">
        <f t="shared" si="45"/>
        <v>34100.457730142247</v>
      </c>
      <c r="K123" s="14">
        <f t="shared" si="45"/>
        <v>35133.024219168816</v>
      </c>
      <c r="L123" s="14">
        <f t="shared" si="45"/>
        <v>57951.362477069953</v>
      </c>
      <c r="M123" s="14">
        <f t="shared" si="45"/>
        <v>59699.941675244416</v>
      </c>
      <c r="N123" s="14">
        <f t="shared" si="45"/>
        <v>61501.230211293048</v>
      </c>
      <c r="O123" s="14">
        <f t="shared" si="45"/>
        <v>63356.8156895965</v>
      </c>
      <c r="P123" s="14">
        <f t="shared" si="45"/>
        <v>65268.333501405374</v>
      </c>
      <c r="Q123" s="14">
        <f t="shared" si="45"/>
        <v>67237.468262430659</v>
      </c>
      <c r="R123" s="14">
        <f t="shared" si="45"/>
        <v>69265.955293661871</v>
      </c>
      <c r="S123" s="14">
        <f t="shared" si="45"/>
        <v>71355.582146712302</v>
      </c>
      <c r="T123" s="14">
        <f t="shared" si="45"/>
        <v>73508.190175029697</v>
      </c>
      <c r="U123" s="193">
        <f t="shared" si="45"/>
        <v>75725.676152350905</v>
      </c>
      <c r="V123" s="14">
        <f t="shared" si="45"/>
        <v>78009.993939820721</v>
      </c>
      <c r="W123" s="14">
        <f t="shared" si="45"/>
        <v>80363.156203237406</v>
      </c>
      <c r="X123" s="14">
        <f t="shared" si="45"/>
        <v>82787.236181931643</v>
      </c>
      <c r="Y123" s="14">
        <f t="shared" si="45"/>
        <v>85284.369510830904</v>
      </c>
      <c r="Z123" s="14">
        <f t="shared" si="45"/>
        <v>87856.756097307545</v>
      </c>
      <c r="AA123" s="14">
        <f t="shared" si="45"/>
        <v>90506.662054457352</v>
      </c>
      <c r="AB123" s="14">
        <f t="shared" si="45"/>
        <v>93236.421692504868</v>
      </c>
      <c r="AC123" s="14">
        <f t="shared" si="45"/>
        <v>96048.439570081784</v>
      </c>
      <c r="AD123" s="14">
        <f t="shared" si="45"/>
        <v>98945.192607178746</v>
      </c>
    </row>
    <row r="124" spans="1:35" hidden="1" x14ac:dyDescent="0.35">
      <c r="A124" s="1"/>
      <c r="B124" s="9"/>
      <c r="C124" s="91"/>
      <c r="E124" s="96" t="s">
        <v>52</v>
      </c>
      <c r="F124" s="80">
        <f>$D$85*$C$7</f>
        <v>40064.999400000001</v>
      </c>
      <c r="G124" s="80">
        <f t="shared" ref="G124:AD124" si="46">$D$85*$C$7</f>
        <v>40064.999400000001</v>
      </c>
      <c r="H124" s="80">
        <f t="shared" si="46"/>
        <v>40064.999400000001</v>
      </c>
      <c r="I124" s="80">
        <f t="shared" si="46"/>
        <v>40064.999400000001</v>
      </c>
      <c r="J124" s="80">
        <f t="shared" si="46"/>
        <v>40064.999400000001</v>
      </c>
      <c r="K124" s="80">
        <f t="shared" si="46"/>
        <v>40064.999400000001</v>
      </c>
      <c r="L124" s="80">
        <f t="shared" si="46"/>
        <v>40064.999400000001</v>
      </c>
      <c r="M124" s="80">
        <f t="shared" si="46"/>
        <v>40064.999400000001</v>
      </c>
      <c r="N124" s="80">
        <f t="shared" si="46"/>
        <v>40064.999400000001</v>
      </c>
      <c r="O124" s="80">
        <f t="shared" si="46"/>
        <v>40064.999400000001</v>
      </c>
      <c r="P124" s="80">
        <f t="shared" si="46"/>
        <v>40064.999400000001</v>
      </c>
      <c r="Q124" s="80">
        <f t="shared" si="46"/>
        <v>40064.999400000001</v>
      </c>
      <c r="R124" s="80">
        <f t="shared" si="46"/>
        <v>40064.999400000001</v>
      </c>
      <c r="S124" s="80">
        <f t="shared" si="46"/>
        <v>40064.999400000001</v>
      </c>
      <c r="T124" s="80">
        <f t="shared" si="46"/>
        <v>40064.999400000001</v>
      </c>
      <c r="U124" s="194">
        <f t="shared" si="46"/>
        <v>40064.999400000001</v>
      </c>
      <c r="V124" s="80">
        <f t="shared" si="46"/>
        <v>40064.999400000001</v>
      </c>
      <c r="W124" s="80">
        <f t="shared" si="46"/>
        <v>40064.999400000001</v>
      </c>
      <c r="X124" s="80">
        <f t="shared" si="46"/>
        <v>40064.999400000001</v>
      </c>
      <c r="Y124" s="80">
        <f t="shared" si="46"/>
        <v>40064.999400000001</v>
      </c>
      <c r="Z124" s="80">
        <f t="shared" si="46"/>
        <v>40064.999400000001</v>
      </c>
      <c r="AA124" s="80">
        <f t="shared" si="46"/>
        <v>40064.999400000001</v>
      </c>
      <c r="AB124" s="80">
        <f t="shared" si="46"/>
        <v>40064.999400000001</v>
      </c>
      <c r="AC124" s="80">
        <f t="shared" si="46"/>
        <v>40064.999400000001</v>
      </c>
      <c r="AD124" s="80">
        <f t="shared" si="46"/>
        <v>40064.999400000001</v>
      </c>
    </row>
    <row r="125" spans="1:35" hidden="1" x14ac:dyDescent="0.35">
      <c r="A125" s="1"/>
      <c r="C125" s="91"/>
      <c r="E125" s="96" t="s">
        <v>81</v>
      </c>
      <c r="F125" s="14">
        <f>((($C$22*$C$7)-((F127*12)*C28))/2)+N("CNAPP equals the annual interest on unsubs minus the the percentage of the annual IBR payment that would be put towards unsubs")</f>
        <v>15110.869665221715</v>
      </c>
      <c r="G125" s="19">
        <f>IF(
F125=-$C$6+N("IF the principal payment from the previous year equals the original loan balance then"),
0+N("The CAN/PP euals zero, because you have paid of the loan")+N("if CAN/PP does not equal the original loan balance, then..."),
IF(
$C$7=0+N("If the interest rate is zero, then"),
(-(G127*12))+F125+N("CNAPP equals the last year's CNAPP minus whatever the annual IBR payment was")+N("If the interest rate is not zero, then..."),
IF(
G124=0+N("If the annual interest paid equals zero, then..."),
0+N("CNAPP equals zero")+N("If the annual interest rate does not equal zero, then..."),
((($C$22*$C$7)-((G127*12)*$C$28)))/2)+F125+N("CNAPP equals the previous CNAPP plus the annual interest on unsubs minus the the percentage of the annual IBR payment that would be put towards unsubs")))</f>
        <v>29119.293605238629</v>
      </c>
      <c r="H125" s="19">
        <f>IF(
G125=-$C$6+N("IF the principal payment from the previous year equals the original loan balance then"),
0+N("The CAN/PP euals zero, because you have paid of the loan")+N("if CAN/PP does not equal the original loan balance, then..."),
IF(
$C$7=0+N("If the interest rate is zero, then"),
(-(H127*12))+G125+N("CNAPP equals the last year's CNAPP minus whatever the annual IBR payment was")+N("If the interest rate is not zero, then..."),
IF(
H124=0+N("If the annual interest paid equals zero, then..."),
0+N("CNAPP equals zero")+N("If the annual interest rate does not equal zero, then..."),
((($C$22*$C$7)-((H127*12)*$C$28)))/2)+G125+N("CNAPP equals the previous CNAPP plus the annual interest on unsubs minus the the percentage of the annual IBR payment that would be put towards unsubs")))</f>
        <v>39895.993122886583</v>
      </c>
      <c r="I125" s="19">
        <f>IF(
H125=-$C6+N("IF the principal payment from the previous year equals the original loan balance then"),
0+N("The CAN/PP euals zero, because you have paid of the loan")+N("if CAN/PP does not equal the original loan balance, then..."),
IF(
$C7=0+N("If the interest rate is zero, then"),
(-(I127*12))+H125+N("CNAPP equals the last year's CNAPP minus whatever the annual IBR payment was")+N("If the interest rate is not zero, then..."),
IF(
I124=0+N("If the annual interest paid equals zero, then..."),
0+N("CNAPP equals zero")+N("If the annual interest rate does not equal zero, then..."),
(I124-(I127*12))/2)+H125+N("CNAPP equals the previous CNAPP plus the annual interest minus the annual IBR payment")))</f>
        <v>43379.396281016408</v>
      </c>
      <c r="J125" s="19">
        <f>IF(
I125=-$C6+N("IF the principal payment from the previous year equals the original loan balance then"),
0+N("The CAN/PP euals zero, because you have paid of the loan")+N("if CAN/PP does not equal the original loan balance, then..."),
IF(
$C7=0+N("If the interest rate is zero, then"),
(-(J127*12))+I125+N("CNAPP equals the last year's CNAPP minus whatever the annual IBR payment was")+N("If the interest rate is not zero, then..."),
IF(
J124=0+N("If the annual interest paid equals zero, then..."),
0+N("CNAPP equals zero")+N("If the annual interest rate does not equal zero, then..."),
(J124-(J127*12))/2)+I125+N("CNAPP equals the previous CNAPP plus the annual interest minus the annual IBR payment")))</f>
        <v>46361.667115945282</v>
      </c>
      <c r="K125" s="19">
        <f t="shared" ref="K125:AD125" si="47">IF(
J125=-$C6+N("IF the principal payment from the previous year equals the original loan balance then"),
0+N("The CAN/PP euals zero, because you have paid of the loan")+N("if CAN/PP does not equal the original loan balance, then..."),
IF(
$C7=0+N("If the interest rate is zero, then"),
(-(K127*12))+J125+N("CNAPP equals the last year's CNAPP minus whatever the annual IBR payment was")+N("If the interest rate is not zero, then..."),
IF(
K124=0+N("If the annual interest paid equals zero, then..."),
0+N("CNAPP equals zero")+N("If the annual interest rate does not equal zero, then..."),
(K124-(K127*12))/2)+J125+N("CNAPP equals the previous CNAPP plus the annual interest minus the annual IBR payment")))</f>
        <v>48827.654706360874</v>
      </c>
      <c r="L125" s="19">
        <f t="shared" si="47"/>
        <v>39884.473167825898</v>
      </c>
      <c r="M125" s="19">
        <f t="shared" si="47"/>
        <v>30067.00203020369</v>
      </c>
      <c r="N125" s="19">
        <f t="shared" si="47"/>
        <v>19348.886624557166</v>
      </c>
      <c r="O125" s="19">
        <f t="shared" si="47"/>
        <v>7702.9784797589164</v>
      </c>
      <c r="P125" s="19">
        <f t="shared" si="47"/>
        <v>-4898.6885709437702</v>
      </c>
      <c r="Q125" s="19">
        <f t="shared" si="47"/>
        <v>-18484.923002159099</v>
      </c>
      <c r="R125" s="19">
        <f t="shared" si="47"/>
        <v>-33085.400948990035</v>
      </c>
      <c r="S125" s="19">
        <f t="shared" si="47"/>
        <v>-48730.692322346185</v>
      </c>
      <c r="T125" s="19">
        <f t="shared" si="47"/>
        <v>-65452.287709861033</v>
      </c>
      <c r="U125" s="19">
        <f t="shared" si="47"/>
        <v>-83282.626086036486</v>
      </c>
      <c r="V125" s="19">
        <f t="shared" si="47"/>
        <v>-102255.12335594685</v>
      </c>
      <c r="W125" s="19">
        <f t="shared" si="47"/>
        <v>-122404.20175756555</v>
      </c>
      <c r="X125" s="19">
        <f t="shared" si="47"/>
        <v>-143765.32014853138</v>
      </c>
      <c r="Y125" s="19">
        <f t="shared" si="47"/>
        <v>-166375.00520394684</v>
      </c>
      <c r="Z125" s="19">
        <f t="shared" si="47"/>
        <v>-190270.88355260063</v>
      </c>
      <c r="AA125" s="19">
        <f t="shared" si="47"/>
        <v>-215491.71487982932</v>
      </c>
      <c r="AB125" s="19">
        <f t="shared" si="47"/>
        <v>-242077.42602608175</v>
      </c>
      <c r="AC125" s="19">
        <f t="shared" si="47"/>
        <v>-270069.14611112262</v>
      </c>
      <c r="AD125" s="19">
        <f t="shared" si="47"/>
        <v>-299509.24271471199</v>
      </c>
    </row>
    <row r="126" spans="1:35" hidden="1" x14ac:dyDescent="0.35">
      <c r="A126" s="1"/>
      <c r="C126" s="91"/>
      <c r="E126" s="96" t="s">
        <v>82</v>
      </c>
      <c r="F126" s="19">
        <f>$C$6+F125</f>
        <v>540248.86966522166</v>
      </c>
      <c r="G126" s="19">
        <f t="shared" ref="G126:AD126" si="48">$C$6+G125</f>
        <v>554257.29360523866</v>
      </c>
      <c r="H126" s="19">
        <f t="shared" si="48"/>
        <v>565033.99312288663</v>
      </c>
      <c r="I126" s="19">
        <f t="shared" si="48"/>
        <v>568517.39628101641</v>
      </c>
      <c r="J126" s="19">
        <f t="shared" si="48"/>
        <v>571499.66711594525</v>
      </c>
      <c r="K126" s="19">
        <f t="shared" si="48"/>
        <v>573965.65470636089</v>
      </c>
      <c r="L126" s="19">
        <f t="shared" si="48"/>
        <v>565022.47316782596</v>
      </c>
      <c r="M126" s="19">
        <f t="shared" si="48"/>
        <v>555205.0020302037</v>
      </c>
      <c r="N126" s="19">
        <f t="shared" si="48"/>
        <v>544486.8866245572</v>
      </c>
      <c r="O126" s="19">
        <f t="shared" si="48"/>
        <v>532840.97847975895</v>
      </c>
      <c r="P126" s="19">
        <f t="shared" si="48"/>
        <v>520239.31142905622</v>
      </c>
      <c r="Q126" s="19">
        <f t="shared" si="48"/>
        <v>506653.07699784089</v>
      </c>
      <c r="R126" s="19">
        <f t="shared" si="48"/>
        <v>492052.59905100998</v>
      </c>
      <c r="S126" s="19">
        <f t="shared" si="48"/>
        <v>476407.30767765379</v>
      </c>
      <c r="T126" s="19">
        <f t="shared" si="48"/>
        <v>459685.71229013894</v>
      </c>
      <c r="U126" s="19">
        <f t="shared" si="48"/>
        <v>441855.3739139635</v>
      </c>
      <c r="V126" s="19">
        <f t="shared" si="48"/>
        <v>422882.87664405315</v>
      </c>
      <c r="W126" s="19">
        <f t="shared" si="48"/>
        <v>402733.79824243445</v>
      </c>
      <c r="X126" s="19">
        <f t="shared" si="48"/>
        <v>381372.67985146865</v>
      </c>
      <c r="Y126" s="19">
        <f t="shared" si="48"/>
        <v>358762.99479605316</v>
      </c>
      <c r="Z126" s="19">
        <f t="shared" si="48"/>
        <v>334867.11644739937</v>
      </c>
      <c r="AA126" s="19">
        <f t="shared" si="48"/>
        <v>309646.28512017068</v>
      </c>
      <c r="AB126" s="19">
        <f t="shared" si="48"/>
        <v>283060.57397391822</v>
      </c>
      <c r="AC126" s="19">
        <f t="shared" si="48"/>
        <v>255068.85388887738</v>
      </c>
      <c r="AD126" s="19">
        <f t="shared" si="48"/>
        <v>225628.75728528801</v>
      </c>
    </row>
    <row r="127" spans="1:35" ht="16" thickBot="1" x14ac:dyDescent="0.4">
      <c r="A127" s="1"/>
      <c r="C127" s="88"/>
      <c r="D127" s="89"/>
      <c r="E127" s="109" t="s">
        <v>83</v>
      </c>
      <c r="F127" s="14">
        <f t="shared" ref="F127:AD127" si="49">MAX(0,(F121*0.1)/12)</f>
        <v>499.54166666666669</v>
      </c>
      <c r="G127" s="14">
        <f t="shared" si="49"/>
        <v>706.68216249999989</v>
      </c>
      <c r="H127" s="14">
        <f t="shared" si="49"/>
        <v>1313.89663477875</v>
      </c>
      <c r="I127" s="14">
        <f t="shared" si="49"/>
        <v>2758.1827569783632</v>
      </c>
      <c r="J127" s="14">
        <f t="shared" si="49"/>
        <v>2841.7048108451872</v>
      </c>
      <c r="K127" s="14">
        <f t="shared" si="49"/>
        <v>2927.7520182640678</v>
      </c>
      <c r="L127" s="14">
        <f t="shared" si="49"/>
        <v>4829.2802064224961</v>
      </c>
      <c r="M127" s="14">
        <f t="shared" si="49"/>
        <v>4974.9951396037013</v>
      </c>
      <c r="N127" s="14">
        <f t="shared" si="49"/>
        <v>5125.1025176077537</v>
      </c>
      <c r="O127" s="14">
        <f t="shared" si="49"/>
        <v>5279.7346407997084</v>
      </c>
      <c r="P127" s="14">
        <f t="shared" si="49"/>
        <v>5439.0277917837811</v>
      </c>
      <c r="Q127" s="14">
        <f t="shared" si="49"/>
        <v>5603.1223552025549</v>
      </c>
      <c r="R127" s="14">
        <f t="shared" si="49"/>
        <v>5772.1629411384893</v>
      </c>
      <c r="S127" s="14">
        <f t="shared" si="49"/>
        <v>5946.2985122260252</v>
      </c>
      <c r="T127" s="14">
        <f t="shared" si="49"/>
        <v>6125.6825145858083</v>
      </c>
      <c r="U127" s="14">
        <f t="shared" si="49"/>
        <v>6310.4730126959084</v>
      </c>
      <c r="V127" s="14">
        <f t="shared" si="49"/>
        <v>6500.8328283183937</v>
      </c>
      <c r="W127" s="14">
        <f t="shared" si="49"/>
        <v>6696.9296836031172</v>
      </c>
      <c r="X127" s="14">
        <f t="shared" si="49"/>
        <v>6898.9363484943033</v>
      </c>
      <c r="Y127" s="14">
        <f t="shared" si="49"/>
        <v>7107.0307925692423</v>
      </c>
      <c r="Z127" s="14">
        <f t="shared" si="49"/>
        <v>7321.3963414422951</v>
      </c>
      <c r="AA127" s="14">
        <f t="shared" si="49"/>
        <v>7542.221837871446</v>
      </c>
      <c r="AB127" s="14">
        <f t="shared" si="49"/>
        <v>7769.7018077087387</v>
      </c>
      <c r="AC127" s="14">
        <f t="shared" si="49"/>
        <v>8004.036630840149</v>
      </c>
      <c r="AD127" s="14">
        <f t="shared" si="49"/>
        <v>8245.4327172648955</v>
      </c>
    </row>
    <row r="128" spans="1:35" x14ac:dyDescent="0.35">
      <c r="A128" s="1"/>
      <c r="B128" s="29"/>
      <c r="C128" s="277"/>
      <c r="D128" s="277"/>
      <c r="E128" s="27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row>
    <row r="129" spans="1:30" x14ac:dyDescent="0.35">
      <c r="A129" s="1"/>
      <c r="C129" s="275"/>
      <c r="D129" s="275"/>
      <c r="E129" s="275"/>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row>
    <row r="130" spans="1:30" hidden="1" x14ac:dyDescent="0.35">
      <c r="A130" s="1"/>
      <c r="D130" s="21"/>
      <c r="E130" s="76" t="s">
        <v>138</v>
      </c>
      <c r="F130" s="27">
        <v>1</v>
      </c>
      <c r="G130" s="27">
        <f>F130+1</f>
        <v>2</v>
      </c>
      <c r="H130" s="27">
        <f t="shared" ref="H130:AD130" si="50">G130+1</f>
        <v>3</v>
      </c>
      <c r="I130" s="27">
        <f t="shared" si="50"/>
        <v>4</v>
      </c>
      <c r="J130" s="27">
        <f t="shared" si="50"/>
        <v>5</v>
      </c>
      <c r="K130" s="27">
        <f t="shared" si="50"/>
        <v>6</v>
      </c>
      <c r="L130" s="27">
        <f t="shared" si="50"/>
        <v>7</v>
      </c>
      <c r="M130" s="27">
        <f t="shared" si="50"/>
        <v>8</v>
      </c>
      <c r="N130" s="27">
        <f t="shared" si="50"/>
        <v>9</v>
      </c>
      <c r="O130" s="27">
        <f t="shared" si="50"/>
        <v>10</v>
      </c>
      <c r="P130" s="27">
        <f t="shared" si="50"/>
        <v>11</v>
      </c>
      <c r="Q130" s="27">
        <f t="shared" si="50"/>
        <v>12</v>
      </c>
      <c r="R130" s="27">
        <f t="shared" si="50"/>
        <v>13</v>
      </c>
      <c r="S130" s="27">
        <f t="shared" si="50"/>
        <v>14</v>
      </c>
      <c r="T130" s="27">
        <f t="shared" si="50"/>
        <v>15</v>
      </c>
      <c r="U130" s="27">
        <f t="shared" si="50"/>
        <v>16</v>
      </c>
      <c r="V130" s="27">
        <f t="shared" si="50"/>
        <v>17</v>
      </c>
      <c r="W130" s="27">
        <f t="shared" si="50"/>
        <v>18</v>
      </c>
      <c r="X130" s="27">
        <f t="shared" si="50"/>
        <v>19</v>
      </c>
      <c r="Y130" s="27">
        <f t="shared" si="50"/>
        <v>20</v>
      </c>
      <c r="Z130" s="27">
        <f t="shared" si="50"/>
        <v>21</v>
      </c>
      <c r="AA130" s="27">
        <f t="shared" si="50"/>
        <v>22</v>
      </c>
      <c r="AB130" s="27">
        <f t="shared" si="50"/>
        <v>23</v>
      </c>
      <c r="AC130" s="27">
        <f t="shared" si="50"/>
        <v>24</v>
      </c>
      <c r="AD130" s="27">
        <f t="shared" si="50"/>
        <v>25</v>
      </c>
    </row>
    <row r="131" spans="1:30" x14ac:dyDescent="0.35">
      <c r="A131" s="1"/>
      <c r="D131" s="77"/>
      <c r="E131" s="77"/>
    </row>
    <row r="132" spans="1:30" x14ac:dyDescent="0.35">
      <c r="A132" s="1"/>
      <c r="D132" s="8"/>
      <c r="E132" s="8"/>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row>
    <row r="133" spans="1:30" x14ac:dyDescent="0.35">
      <c r="A133" s="1"/>
      <c r="D133" s="22"/>
      <c r="E133" s="8"/>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row>
    <row r="134" spans="1:30" x14ac:dyDescent="0.35">
      <c r="A134" s="1"/>
      <c r="B134" s="9"/>
      <c r="D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row>
    <row r="135" spans="1:30" x14ac:dyDescent="0.35">
      <c r="A135" s="1"/>
      <c r="F135" s="79"/>
      <c r="G135" s="79"/>
      <c r="H135" s="79"/>
      <c r="I135" s="79"/>
      <c r="J135" s="79"/>
      <c r="K135" s="79"/>
      <c r="L135" s="79"/>
      <c r="M135" s="79"/>
      <c r="N135" s="79"/>
      <c r="O135" s="79"/>
    </row>
    <row r="136" spans="1:30" x14ac:dyDescent="0.35">
      <c r="A136" s="1"/>
      <c r="F136" s="79"/>
      <c r="G136" s="79"/>
      <c r="H136" s="79"/>
      <c r="I136" s="79"/>
      <c r="J136" s="79"/>
      <c r="K136" s="79"/>
      <c r="L136" s="79"/>
      <c r="M136" s="79"/>
      <c r="N136" s="79"/>
      <c r="O136" s="79"/>
      <c r="Z136" s="48"/>
    </row>
    <row r="137" spans="1:30" x14ac:dyDescent="0.35">
      <c r="A137" s="1"/>
      <c r="F137" s="79"/>
      <c r="G137" s="79"/>
      <c r="H137" s="79"/>
      <c r="I137" s="79"/>
      <c r="J137" s="79"/>
      <c r="K137" s="79"/>
      <c r="L137" s="79"/>
      <c r="M137" s="79"/>
      <c r="N137" s="79"/>
      <c r="O137" s="79"/>
    </row>
    <row r="138" spans="1:30" x14ac:dyDescent="0.35">
      <c r="A138" s="1"/>
      <c r="F138" s="79"/>
      <c r="G138" s="79"/>
      <c r="H138" s="79"/>
      <c r="I138" s="79"/>
      <c r="J138" s="79"/>
      <c r="K138" s="79"/>
      <c r="L138" s="79"/>
      <c r="M138" s="79"/>
      <c r="N138" s="79"/>
      <c r="O138" s="79"/>
    </row>
    <row r="139" spans="1:30" x14ac:dyDescent="0.35">
      <c r="A139" s="1"/>
      <c r="F139" s="79"/>
      <c r="G139" s="79"/>
      <c r="H139" s="79"/>
      <c r="I139" s="79"/>
      <c r="J139" s="79"/>
      <c r="K139" s="79"/>
      <c r="L139" s="79"/>
      <c r="M139" s="79"/>
      <c r="N139" s="79"/>
      <c r="O139" s="79"/>
    </row>
    <row r="140" spans="1:30" x14ac:dyDescent="0.35">
      <c r="A140" s="1"/>
      <c r="F140" s="79"/>
      <c r="G140" s="79"/>
      <c r="H140" s="79"/>
      <c r="I140" s="79"/>
      <c r="J140" s="79"/>
      <c r="K140" s="79"/>
      <c r="L140" s="79"/>
      <c r="M140" s="79"/>
      <c r="N140" s="79"/>
      <c r="O140" s="79"/>
    </row>
    <row r="141" spans="1:30" x14ac:dyDescent="0.35">
      <c r="A141" s="1"/>
      <c r="F141" s="79"/>
      <c r="G141" s="79"/>
      <c r="H141" s="79"/>
      <c r="I141" s="79"/>
      <c r="J141" s="79"/>
      <c r="K141" s="79"/>
      <c r="L141" s="79"/>
      <c r="M141" s="79"/>
      <c r="N141" s="79"/>
      <c r="O141" s="79"/>
    </row>
    <row r="142" spans="1:30" x14ac:dyDescent="0.35">
      <c r="A142" s="1"/>
      <c r="F142" s="79"/>
      <c r="G142" s="79"/>
      <c r="H142" s="79"/>
      <c r="I142" s="79"/>
      <c r="J142" s="79"/>
      <c r="K142" s="79"/>
      <c r="L142" s="79"/>
      <c r="M142" s="79"/>
      <c r="N142" s="79"/>
      <c r="O142" s="79"/>
    </row>
    <row r="143" spans="1:30" x14ac:dyDescent="0.35">
      <c r="A143" s="1"/>
      <c r="F143" s="79"/>
      <c r="G143" s="79"/>
      <c r="H143" s="79"/>
      <c r="I143" s="79"/>
      <c r="J143" s="79"/>
      <c r="K143" s="79"/>
      <c r="L143" s="79"/>
      <c r="M143" s="79"/>
      <c r="N143" s="79"/>
      <c r="O143" s="79"/>
    </row>
    <row r="144" spans="1:30" x14ac:dyDescent="0.35">
      <c r="A144" s="1"/>
    </row>
    <row r="145" spans="1:1" x14ac:dyDescent="0.35">
      <c r="A145" s="1"/>
    </row>
  </sheetData>
  <sheetProtection algorithmName="SHA-512" hashValue="9E6lIPMTpZL9hY5TX9EBn1mF0Lc2rN1W2PPFVRIFzheiupy0uzgv4/qis8hgVaBFmwEUmDDQNXvA4NPSbmKpuw==" saltValue="4Kb7qX+AjXkmXkCj/lkuFA==" spinCount="100000" sheet="1" objects="1" scenarios="1" selectLockedCells="1" selectUnlockedCells="1"/>
  <mergeCells count="12">
    <mergeCell ref="C129:E129"/>
    <mergeCell ref="C73:E73"/>
    <mergeCell ref="C75:E75"/>
    <mergeCell ref="C76:E76"/>
    <mergeCell ref="C96:E96"/>
    <mergeCell ref="C97:E97"/>
    <mergeCell ref="C99:E99"/>
    <mergeCell ref="C100:E100"/>
    <mergeCell ref="C102:E102"/>
    <mergeCell ref="C103:E103"/>
    <mergeCell ref="C104:E104"/>
    <mergeCell ref="C128:E128"/>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I146"/>
  <sheetViews>
    <sheetView zoomScale="70" zoomScaleNormal="70" zoomScalePageLayoutView="85" workbookViewId="0">
      <pane xSplit="5" topLeftCell="F1" activePane="topRight" state="frozen"/>
      <selection pane="topRight" activeCell="F128" sqref="F128"/>
    </sheetView>
  </sheetViews>
  <sheetFormatPr defaultColWidth="8.81640625" defaultRowHeight="15.5" x14ac:dyDescent="0.35"/>
  <cols>
    <col min="1" max="1" width="4.81640625" style="17" customWidth="1"/>
    <col min="2" max="2" width="21.26953125" style="1" customWidth="1"/>
    <col min="3" max="3" width="16.08984375" style="1" customWidth="1"/>
    <col min="4" max="5" width="15.6328125" style="1" customWidth="1"/>
    <col min="6" max="6" width="12.08984375" style="1" customWidth="1"/>
    <col min="7" max="7" width="12.90625" style="1" bestFit="1" customWidth="1"/>
    <col min="8" max="9" width="13" style="1" bestFit="1" customWidth="1"/>
    <col min="10" max="10" width="14" style="1" bestFit="1" customWidth="1"/>
    <col min="11" max="11" width="13.26953125" style="1" bestFit="1" customWidth="1"/>
    <col min="12" max="12" width="14" style="1" bestFit="1" customWidth="1"/>
    <col min="13" max="14" width="13" style="1" bestFit="1" customWidth="1"/>
    <col min="15" max="15" width="14" style="1" bestFit="1" customWidth="1"/>
    <col min="16" max="16" width="13.26953125" style="1" bestFit="1" customWidth="1"/>
    <col min="17" max="17" width="13" style="1" bestFit="1" customWidth="1"/>
    <col min="18" max="18" width="13.26953125" style="1" bestFit="1" customWidth="1"/>
    <col min="19" max="21" width="13" style="1" bestFit="1" customWidth="1"/>
    <col min="22" max="23" width="15.453125" style="1" bestFit="1" customWidth="1"/>
    <col min="24" max="24" width="35.36328125" style="1" customWidth="1"/>
    <col min="25" max="25" width="15.453125" style="1" bestFit="1" customWidth="1"/>
    <col min="26" max="26" width="13.08984375" style="1" bestFit="1" customWidth="1"/>
    <col min="27" max="28" width="15.453125" style="1" bestFit="1" customWidth="1"/>
    <col min="29" max="30" width="14.26953125" style="1" bestFit="1" customWidth="1"/>
    <col min="31" max="35" width="14.08984375" style="1" bestFit="1" customWidth="1"/>
    <col min="36" max="120" width="8.81640625" style="1"/>
    <col min="121" max="121" width="8.81640625" style="1" customWidth="1"/>
    <col min="122" max="16384" width="8.81640625" style="1"/>
  </cols>
  <sheetData>
    <row r="1" spans="1:31" s="72" customFormat="1" ht="15.5" customHeight="1" x14ac:dyDescent="0.35">
      <c r="B1" s="168"/>
      <c r="C1" s="169" t="s">
        <v>8</v>
      </c>
      <c r="D1" s="170" t="s">
        <v>0</v>
      </c>
      <c r="E1" s="196" t="s">
        <v>133</v>
      </c>
      <c r="F1" s="69" t="s">
        <v>54</v>
      </c>
      <c r="G1" s="69"/>
      <c r="H1" s="69"/>
      <c r="I1" s="69"/>
      <c r="J1" s="69"/>
      <c r="K1" s="69"/>
      <c r="L1" s="69"/>
      <c r="M1" s="69"/>
      <c r="N1" s="69"/>
      <c r="O1" s="69">
        <v>10</v>
      </c>
      <c r="P1" s="49"/>
      <c r="Y1" s="72" t="s">
        <v>66</v>
      </c>
      <c r="AD1" s="72" t="s">
        <v>65</v>
      </c>
    </row>
    <row r="2" spans="1:31" ht="16" thickBot="1" x14ac:dyDescent="0.4">
      <c r="A2" s="29"/>
      <c r="B2" s="171" t="s">
        <v>20</v>
      </c>
      <c r="C2" s="172">
        <v>59322</v>
      </c>
      <c r="D2" s="173">
        <v>6.7900000000000002E-2</v>
      </c>
      <c r="E2" s="26">
        <f>SubsidizedBalance*SubRate</f>
        <v>4027.9638</v>
      </c>
      <c r="F2" s="64"/>
      <c r="G2" s="69"/>
      <c r="H2" s="69"/>
      <c r="I2" s="69"/>
      <c r="J2" s="69"/>
      <c r="K2" s="69"/>
      <c r="L2" s="69"/>
      <c r="M2" s="69"/>
      <c r="N2" s="69"/>
      <c r="O2" s="69"/>
      <c r="P2" s="28"/>
      <c r="Q2" s="28"/>
      <c r="R2" s="28"/>
      <c r="S2" s="28"/>
      <c r="T2" s="28"/>
      <c r="U2" s="28"/>
      <c r="V2" s="28"/>
    </row>
    <row r="3" spans="1:31" ht="75" customHeight="1" x14ac:dyDescent="0.35">
      <c r="A3" s="1"/>
      <c r="B3" s="171" t="s">
        <v>19</v>
      </c>
      <c r="C3" s="172">
        <v>131598</v>
      </c>
      <c r="D3" s="173">
        <v>0.06</v>
      </c>
      <c r="E3" s="26">
        <f>UnsubsidizedBalance*UnsubRate</f>
        <v>7895.88</v>
      </c>
      <c r="F3" s="69"/>
      <c r="G3" s="69"/>
      <c r="H3" s="113"/>
      <c r="I3" s="114" t="s">
        <v>94</v>
      </c>
      <c r="J3" s="114" t="s">
        <v>97</v>
      </c>
      <c r="K3" s="165" t="s">
        <v>95</v>
      </c>
      <c r="L3" s="165" t="s">
        <v>99</v>
      </c>
      <c r="M3" s="165" t="s">
        <v>100</v>
      </c>
      <c r="N3" s="165" t="s">
        <v>102</v>
      </c>
      <c r="O3" s="114" t="s">
        <v>96</v>
      </c>
      <c r="P3" s="115" t="s">
        <v>98</v>
      </c>
      <c r="Q3" s="115" t="s">
        <v>101</v>
      </c>
      <c r="R3" s="116" t="s">
        <v>103</v>
      </c>
      <c r="S3" s="28"/>
      <c r="T3" s="28"/>
      <c r="U3" s="28"/>
      <c r="V3" s="28"/>
    </row>
    <row r="4" spans="1:31" x14ac:dyDescent="0.35">
      <c r="A4" s="1"/>
      <c r="B4" s="171" t="s">
        <v>67</v>
      </c>
      <c r="C4" s="172">
        <v>334218</v>
      </c>
      <c r="D4" s="173">
        <v>8.4199999999999997E-2</v>
      </c>
      <c r="E4" s="26">
        <f>C4*D4</f>
        <v>28141.155599999998</v>
      </c>
      <c r="F4" s="69"/>
      <c r="G4" s="69"/>
      <c r="H4" s="117" t="s">
        <v>84</v>
      </c>
      <c r="I4" s="120">
        <f>SUM(F123:O123)</f>
        <v>245757.21607847032</v>
      </c>
      <c r="J4" s="120">
        <f>REPAYE_PSLF</f>
        <v>597503.60576732387</v>
      </c>
      <c r="K4" s="166" t="s">
        <v>87</v>
      </c>
      <c r="L4" s="166" t="s">
        <v>87</v>
      </c>
      <c r="M4" s="166" t="s">
        <v>87</v>
      </c>
      <c r="N4" s="166" t="s">
        <v>87</v>
      </c>
      <c r="O4" s="120">
        <f>SUM(F123:AD123)</f>
        <v>891391.70674912154</v>
      </c>
      <c r="P4" s="120">
        <f>AD126</f>
        <v>575173.85593199835</v>
      </c>
      <c r="Q4" s="120">
        <f>E43</f>
        <v>227768.84694907136</v>
      </c>
      <c r="R4" s="121">
        <f>Z43</f>
        <v>1119160.5536981928</v>
      </c>
      <c r="S4" s="28"/>
      <c r="T4" s="28"/>
      <c r="U4" s="28"/>
      <c r="V4" s="28"/>
    </row>
    <row r="5" spans="1:31" x14ac:dyDescent="0.35">
      <c r="A5" s="1"/>
      <c r="B5" s="171"/>
      <c r="C5" s="174"/>
      <c r="D5" s="175"/>
      <c r="E5" s="26"/>
      <c r="F5" s="69"/>
      <c r="G5" s="69"/>
      <c r="H5" s="117"/>
      <c r="I5" s="120"/>
      <c r="J5" s="120"/>
      <c r="K5" s="166"/>
      <c r="L5" s="166"/>
      <c r="M5" s="166"/>
      <c r="N5" s="166"/>
      <c r="O5" s="120"/>
      <c r="P5" s="120"/>
      <c r="Q5" s="120"/>
      <c r="R5" s="121"/>
      <c r="S5" s="28"/>
      <c r="T5" s="28"/>
      <c r="U5" s="28"/>
      <c r="V5" s="28"/>
    </row>
    <row r="6" spans="1:31" x14ac:dyDescent="0.35">
      <c r="A6" s="1"/>
      <c r="B6" s="171" t="s">
        <v>3</v>
      </c>
      <c r="C6" s="84">
        <f>SUM(C2,C3,C4)</f>
        <v>525138</v>
      </c>
      <c r="D6" s="176">
        <f>E6/Total_Balance</f>
        <v>7.6294230088091136E-2</v>
      </c>
      <c r="E6" s="26">
        <f>SUM(E2:E4)</f>
        <v>40064.999400000001</v>
      </c>
      <c r="F6" s="69"/>
      <c r="G6" s="161" t="s">
        <v>87</v>
      </c>
      <c r="H6" s="162" t="s">
        <v>104</v>
      </c>
      <c r="I6" s="120"/>
      <c r="J6" s="120"/>
      <c r="K6" s="166"/>
      <c r="L6" s="166"/>
      <c r="M6" s="166"/>
      <c r="N6" s="166"/>
      <c r="O6" s="120"/>
      <c r="P6" s="120"/>
      <c r="Q6" s="120"/>
      <c r="R6" s="121"/>
      <c r="S6" s="28"/>
      <c r="T6" s="28"/>
      <c r="U6" s="28"/>
      <c r="V6" s="28"/>
    </row>
    <row r="7" spans="1:31" x14ac:dyDescent="0.35">
      <c r="A7" s="1"/>
      <c r="B7" s="50" t="s">
        <v>1</v>
      </c>
      <c r="C7" s="31">
        <f>WeightedAverageRate</f>
        <v>7.6294230088091136E-2</v>
      </c>
      <c r="D7" s="51"/>
      <c r="F7" s="32"/>
      <c r="G7" s="163"/>
      <c r="H7" s="164"/>
      <c r="I7" s="120"/>
      <c r="J7" s="120"/>
      <c r="K7" s="166"/>
      <c r="L7" s="166"/>
      <c r="M7" s="166"/>
      <c r="N7" s="166"/>
      <c r="O7" s="120"/>
      <c r="P7" s="120"/>
      <c r="Q7" s="120"/>
      <c r="R7" s="121"/>
      <c r="S7" s="28"/>
      <c r="T7" s="28"/>
      <c r="U7" s="28"/>
      <c r="V7" s="28"/>
    </row>
    <row r="8" spans="1:31" x14ac:dyDescent="0.35">
      <c r="A8" s="1"/>
      <c r="B8" s="50" t="s">
        <v>2</v>
      </c>
      <c r="C8" s="33">
        <v>12</v>
      </c>
      <c r="D8" s="51"/>
      <c r="F8" s="32"/>
      <c r="G8" s="163" t="s">
        <v>87</v>
      </c>
      <c r="H8" s="164" t="s">
        <v>105</v>
      </c>
      <c r="I8" s="120"/>
      <c r="J8" s="120"/>
      <c r="K8" s="166"/>
      <c r="L8" s="166"/>
      <c r="M8" s="166"/>
      <c r="N8" s="166"/>
      <c r="O8" s="120"/>
      <c r="P8" s="120"/>
      <c r="Q8" s="120"/>
      <c r="R8" s="121"/>
      <c r="S8" s="28"/>
      <c r="T8" s="28"/>
      <c r="U8" s="28"/>
      <c r="V8" s="28"/>
    </row>
    <row r="9" spans="1:31" x14ac:dyDescent="0.35">
      <c r="A9" s="1"/>
      <c r="B9" s="50"/>
      <c r="C9" s="33"/>
      <c r="D9" s="51"/>
      <c r="F9" s="32"/>
      <c r="G9" s="32"/>
      <c r="H9" s="118"/>
      <c r="I9" s="120"/>
      <c r="J9" s="120"/>
      <c r="K9" s="166"/>
      <c r="L9" s="166"/>
      <c r="M9" s="166"/>
      <c r="N9" s="166"/>
      <c r="O9" s="120"/>
      <c r="P9" s="120"/>
      <c r="Q9" s="120"/>
      <c r="R9" s="121"/>
      <c r="S9" s="28"/>
      <c r="T9" s="28"/>
      <c r="U9" s="28"/>
      <c r="V9" s="28"/>
    </row>
    <row r="10" spans="1:31" ht="31.5" thickBot="1" x14ac:dyDescent="0.4">
      <c r="A10" s="1"/>
      <c r="B10" s="68" t="s">
        <v>68</v>
      </c>
      <c r="C10" s="177" t="s">
        <v>71</v>
      </c>
      <c r="D10" s="52" t="str">
        <f>IF(C10="IBR15","IBR15",IF(C10="PAYE","PAYE",IF(C10="IBR10","IBR10",IF(C10="REPAYE","REPAYE",IF(C10="","Which?")))))</f>
        <v>IBR15</v>
      </c>
      <c r="F10" s="32"/>
      <c r="G10" s="32"/>
      <c r="H10" s="119" t="s">
        <v>106</v>
      </c>
      <c r="I10" s="122">
        <f>SUM(F82:O82)</f>
        <v>368635.82411770552</v>
      </c>
      <c r="J10" s="122">
        <f>O85</f>
        <v>548698.70977790037</v>
      </c>
      <c r="K10" s="167" t="s">
        <v>87</v>
      </c>
      <c r="L10" s="167" t="s">
        <v>87</v>
      </c>
      <c r="M10" s="167" t="s">
        <v>87</v>
      </c>
      <c r="N10" s="167" t="s">
        <v>87</v>
      </c>
      <c r="O10" s="122">
        <f>SUM(F82:AD82)</f>
        <v>1332040.3634617561</v>
      </c>
      <c r="P10" s="122">
        <f>AD85</f>
        <v>15263.022108681456</v>
      </c>
      <c r="Q10" s="122">
        <f>E32</f>
        <v>5036.7972958648807</v>
      </c>
      <c r="R10" s="123">
        <f>O10+Q10</f>
        <v>1337077.1607576211</v>
      </c>
      <c r="S10" s="28"/>
      <c r="T10" s="28"/>
      <c r="U10" s="28"/>
      <c r="V10" s="28"/>
    </row>
    <row r="11" spans="1:31" ht="46.5" hidden="1" x14ac:dyDescent="0.35">
      <c r="A11" s="1"/>
      <c r="B11" s="67" t="s">
        <v>70</v>
      </c>
      <c r="C11" s="65">
        <f>IF(C10="IBR15",0.15,IF(C10="PAYE",0.1,IF(C10="IBR10",0.1,IF(C10="REPAYE",0.1,IF(C10="","?")))))</f>
        <v>0.15</v>
      </c>
      <c r="D11" s="53"/>
      <c r="F11" s="32"/>
      <c r="G11" s="32"/>
      <c r="H11" s="32"/>
      <c r="I11" s="32"/>
      <c r="J11" s="32"/>
      <c r="K11" s="32"/>
      <c r="L11" s="32"/>
      <c r="M11" s="32"/>
      <c r="N11" s="32"/>
      <c r="O11" s="32"/>
      <c r="P11" s="28"/>
      <c r="Q11" s="28"/>
      <c r="R11" s="28"/>
      <c r="S11" s="28"/>
      <c r="T11" s="28"/>
      <c r="U11" s="28"/>
      <c r="V11" s="28"/>
      <c r="AE11" s="9"/>
    </row>
    <row r="12" spans="1:31" ht="15.5" hidden="1" customHeight="1" x14ac:dyDescent="0.35">
      <c r="A12" s="34"/>
      <c r="B12" s="2" t="s">
        <v>69</v>
      </c>
      <c r="C12" s="35" t="s">
        <v>47</v>
      </c>
      <c r="F12" s="32"/>
      <c r="G12" s="32"/>
      <c r="H12" s="32"/>
      <c r="I12" s="32"/>
      <c r="J12" s="32"/>
      <c r="K12" s="32"/>
      <c r="L12" s="32"/>
      <c r="M12" s="32"/>
      <c r="N12" s="32"/>
      <c r="O12" s="32"/>
      <c r="P12" s="28"/>
      <c r="Q12" s="28"/>
      <c r="R12" s="28"/>
      <c r="S12" s="28"/>
      <c r="T12" s="28"/>
      <c r="U12" s="28"/>
      <c r="V12" s="28"/>
      <c r="AE12" s="9"/>
    </row>
    <row r="13" spans="1:31" ht="15.5" hidden="1" customHeight="1" x14ac:dyDescent="0.35">
      <c r="A13" s="29"/>
      <c r="B13" s="2" t="s">
        <v>23</v>
      </c>
      <c r="C13" s="36"/>
      <c r="D13" s="37"/>
      <c r="F13" s="32"/>
      <c r="G13" s="32"/>
      <c r="H13" s="32"/>
      <c r="I13" s="32"/>
      <c r="J13" s="32"/>
      <c r="K13" s="32"/>
      <c r="L13" s="32"/>
      <c r="M13" s="32"/>
      <c r="N13" s="32"/>
      <c r="O13" s="32"/>
      <c r="P13" s="28"/>
      <c r="Q13" s="28"/>
      <c r="R13" s="28"/>
      <c r="S13" s="28"/>
      <c r="T13" s="28"/>
      <c r="U13" s="28"/>
      <c r="V13" s="28"/>
      <c r="AE13" s="9"/>
    </row>
    <row r="14" spans="1:31" ht="15.5" hidden="1" customHeight="1" x14ac:dyDescent="0.35">
      <c r="A14" s="1"/>
      <c r="B14" s="2" t="s">
        <v>24</v>
      </c>
      <c r="C14" s="36" t="s">
        <v>48</v>
      </c>
      <c r="F14" s="32"/>
      <c r="G14" s="32"/>
      <c r="H14" s="32"/>
      <c r="I14" s="32"/>
      <c r="J14" s="32"/>
      <c r="K14" s="32"/>
      <c r="L14" s="32"/>
      <c r="M14" s="32"/>
      <c r="N14" s="32"/>
      <c r="O14" s="32"/>
      <c r="P14" s="28"/>
      <c r="Q14" s="28"/>
      <c r="R14" s="28"/>
      <c r="S14" s="28"/>
      <c r="T14" s="28"/>
      <c r="U14" s="28"/>
      <c r="V14" s="28"/>
      <c r="AE14" s="9"/>
    </row>
    <row r="15" spans="1:31" ht="15.5" hidden="1" customHeight="1" x14ac:dyDescent="0.35">
      <c r="A15" s="1"/>
      <c r="B15" s="2" t="s">
        <v>25</v>
      </c>
      <c r="C15" s="36"/>
      <c r="F15" s="32"/>
      <c r="G15" s="32"/>
      <c r="H15" s="32"/>
      <c r="I15" s="32"/>
      <c r="J15" s="32"/>
      <c r="K15" s="32"/>
      <c r="L15" s="32"/>
      <c r="M15" s="32"/>
      <c r="N15" s="32"/>
      <c r="O15" s="32"/>
      <c r="P15" s="28"/>
      <c r="Q15" s="28"/>
      <c r="R15" s="28"/>
      <c r="S15" s="28"/>
      <c r="T15" s="28"/>
      <c r="U15" s="28"/>
      <c r="V15" s="28"/>
      <c r="AE15" s="9"/>
    </row>
    <row r="16" spans="1:31" ht="15.5" hidden="1" customHeight="1" x14ac:dyDescent="0.35">
      <c r="A16" s="1"/>
      <c r="B16" s="2" t="s">
        <v>26</v>
      </c>
      <c r="C16" s="36"/>
      <c r="F16" s="32"/>
      <c r="G16" s="32"/>
      <c r="H16" s="32"/>
      <c r="I16" s="32"/>
      <c r="J16" s="32"/>
      <c r="K16" s="32"/>
      <c r="L16" s="32"/>
      <c r="M16" s="32"/>
      <c r="N16" s="32"/>
      <c r="O16" s="32"/>
      <c r="P16" s="28"/>
      <c r="Q16" s="28"/>
      <c r="R16" s="28"/>
      <c r="S16" s="28"/>
      <c r="T16" s="28"/>
      <c r="U16" s="28"/>
      <c r="V16" s="28"/>
      <c r="AE16" s="9"/>
    </row>
    <row r="17" spans="1:31" ht="15.5" hidden="1" customHeight="1" x14ac:dyDescent="0.35">
      <c r="A17" s="1"/>
      <c r="B17" s="2" t="s">
        <v>27</v>
      </c>
      <c r="C17" s="36"/>
      <c r="F17" s="69"/>
      <c r="G17" s="69"/>
      <c r="H17" s="69"/>
      <c r="I17" s="69"/>
      <c r="J17" s="69"/>
      <c r="K17" s="69"/>
      <c r="L17" s="69"/>
      <c r="M17" s="69"/>
      <c r="N17" s="69"/>
      <c r="O17" s="69"/>
      <c r="P17" s="28"/>
      <c r="Q17" s="28"/>
      <c r="R17" s="28"/>
      <c r="S17" s="28"/>
      <c r="T17" s="28"/>
      <c r="U17" s="28"/>
      <c r="V17" s="28"/>
      <c r="AE17" s="9"/>
    </row>
    <row r="18" spans="1:31" ht="15.5" hidden="1" customHeight="1" x14ac:dyDescent="0.35">
      <c r="A18" s="1"/>
      <c r="B18" s="2"/>
      <c r="C18" s="3"/>
      <c r="F18" s="69"/>
      <c r="G18" s="69"/>
      <c r="H18" s="69"/>
      <c r="I18" s="69"/>
      <c r="J18" s="69"/>
      <c r="K18" s="69"/>
      <c r="L18" s="69"/>
      <c r="M18" s="69"/>
      <c r="N18" s="69"/>
      <c r="O18" s="69"/>
      <c r="P18" s="28"/>
      <c r="AE18" s="9"/>
    </row>
    <row r="19" spans="1:31" ht="15.5" hidden="1" customHeight="1" x14ac:dyDescent="0.35">
      <c r="A19" s="1"/>
      <c r="B19" s="2"/>
      <c r="C19" s="4"/>
      <c r="D19" s="30"/>
      <c r="F19" s="69"/>
      <c r="G19" s="69"/>
      <c r="H19" s="69"/>
      <c r="I19" s="69"/>
      <c r="J19" s="69"/>
      <c r="K19" s="69"/>
      <c r="L19" s="69"/>
      <c r="M19" s="69"/>
      <c r="N19" s="69"/>
      <c r="O19" s="69"/>
      <c r="P19" s="28"/>
      <c r="AE19" s="9"/>
    </row>
    <row r="20" spans="1:31" ht="15.5" hidden="1" customHeight="1" x14ac:dyDescent="0.35">
      <c r="A20" s="1"/>
      <c r="B20" s="2"/>
      <c r="C20" s="4"/>
      <c r="D20" s="30"/>
      <c r="F20" s="69"/>
      <c r="G20" s="69"/>
      <c r="H20" s="69"/>
      <c r="I20" s="69"/>
      <c r="J20" s="69"/>
      <c r="K20" s="69"/>
      <c r="L20" s="69"/>
      <c r="M20" s="69"/>
      <c r="N20" s="69"/>
      <c r="O20" s="69"/>
      <c r="P20" s="28"/>
      <c r="AE20" s="9"/>
    </row>
    <row r="21" spans="1:31" ht="15.5" hidden="1" customHeight="1" x14ac:dyDescent="0.35">
      <c r="A21" s="1"/>
      <c r="B21" s="2"/>
      <c r="C21" s="5"/>
      <c r="D21" s="30"/>
      <c r="F21" s="69"/>
      <c r="G21" s="69"/>
      <c r="H21" s="69"/>
      <c r="I21" s="69"/>
      <c r="J21" s="69"/>
      <c r="K21" s="69"/>
      <c r="L21" s="69"/>
      <c r="M21" s="69"/>
      <c r="N21" s="69"/>
      <c r="O21" s="69"/>
      <c r="P21" s="28"/>
      <c r="AE21" s="9"/>
    </row>
    <row r="22" spans="1:31" ht="15.5" hidden="1" customHeight="1" x14ac:dyDescent="0.35">
      <c r="A22" s="1"/>
      <c r="B22" s="2" t="s">
        <v>19</v>
      </c>
      <c r="C22" s="6">
        <f>SUM(C3,C4)</f>
        <v>465816</v>
      </c>
      <c r="D22" s="38">
        <f>((C3*D3)+(C4*D4))/C22</f>
        <v>7.7363241279818626E-2</v>
      </c>
      <c r="F22" s="69"/>
      <c r="G22" s="69"/>
      <c r="H22" s="69"/>
      <c r="I22" s="69"/>
      <c r="J22" s="69"/>
      <c r="K22" s="69"/>
      <c r="L22" s="69"/>
      <c r="M22" s="69"/>
      <c r="N22" s="69"/>
      <c r="O22" s="69"/>
      <c r="P22" s="28"/>
      <c r="AE22" s="9"/>
    </row>
    <row r="23" spans="1:31" ht="15.5" hidden="1" customHeight="1" x14ac:dyDescent="0.35">
      <c r="A23" s="1"/>
      <c r="B23" s="2"/>
      <c r="C23" s="6"/>
      <c r="F23" s="69"/>
      <c r="G23" s="69"/>
      <c r="H23" s="69"/>
      <c r="I23" s="69"/>
      <c r="J23" s="69"/>
      <c r="K23" s="69"/>
      <c r="L23" s="69"/>
      <c r="M23" s="69"/>
      <c r="N23" s="69"/>
      <c r="O23" s="69"/>
      <c r="P23" s="28"/>
      <c r="AE23" s="9"/>
    </row>
    <row r="24" spans="1:31" ht="15.5" hidden="1" customHeight="1" x14ac:dyDescent="0.35">
      <c r="A24" s="1"/>
      <c r="B24" s="2"/>
      <c r="C24" s="6"/>
      <c r="D24" s="38"/>
      <c r="F24" s="69"/>
      <c r="G24" s="69"/>
      <c r="H24" s="69"/>
      <c r="I24" s="69"/>
      <c r="J24" s="69"/>
      <c r="K24" s="69"/>
      <c r="L24" s="69"/>
      <c r="M24" s="69"/>
      <c r="N24" s="69"/>
      <c r="O24" s="69"/>
      <c r="P24" s="28"/>
      <c r="AE24" s="9"/>
    </row>
    <row r="25" spans="1:31" ht="15.5" hidden="1" customHeight="1" x14ac:dyDescent="0.35">
      <c r="A25" s="1"/>
      <c r="B25" s="2"/>
      <c r="C25" s="6"/>
      <c r="D25" s="38"/>
      <c r="F25" s="69"/>
      <c r="G25" s="69"/>
      <c r="H25" s="69"/>
      <c r="I25" s="69"/>
      <c r="J25" s="69"/>
      <c r="K25" s="69"/>
      <c r="L25" s="69"/>
      <c r="M25" s="69"/>
      <c r="N25" s="69"/>
      <c r="O25" s="69"/>
      <c r="P25" s="28"/>
      <c r="AE25" s="9"/>
    </row>
    <row r="26" spans="1:31" ht="15.5" hidden="1" customHeight="1" x14ac:dyDescent="0.35">
      <c r="A26" s="1"/>
      <c r="B26" s="2" t="s">
        <v>20</v>
      </c>
      <c r="C26" s="6">
        <f>C2</f>
        <v>59322</v>
      </c>
      <c r="D26" s="66">
        <f>D2</f>
        <v>6.7900000000000002E-2</v>
      </c>
      <c r="F26" s="69"/>
      <c r="G26" s="69"/>
      <c r="H26" s="69"/>
      <c r="I26" s="69"/>
      <c r="J26" s="69"/>
      <c r="K26" s="69"/>
      <c r="L26" s="69"/>
      <c r="M26" s="69"/>
      <c r="N26" s="69"/>
      <c r="O26" s="69"/>
      <c r="P26" s="28"/>
      <c r="AE26" s="9"/>
    </row>
    <row r="27" spans="1:31" ht="15.5" hidden="1" customHeight="1" x14ac:dyDescent="0.35">
      <c r="A27" s="1"/>
      <c r="B27" s="2"/>
      <c r="C27" s="3"/>
      <c r="D27" s="38"/>
      <c r="F27" s="69"/>
      <c r="G27" s="69"/>
      <c r="H27" s="69"/>
      <c r="I27" s="69"/>
      <c r="J27" s="69"/>
      <c r="K27" s="69"/>
      <c r="L27" s="69"/>
      <c r="M27" s="69"/>
      <c r="N27" s="69"/>
      <c r="O27" s="69"/>
      <c r="P27" s="28"/>
      <c r="AE27" s="9"/>
    </row>
    <row r="28" spans="1:31" ht="15.5" hidden="1" customHeight="1" x14ac:dyDescent="0.35">
      <c r="A28" s="1"/>
      <c r="B28" s="2" t="s">
        <v>16</v>
      </c>
      <c r="C28" s="7">
        <f>C22/(C22+C26)</f>
        <v>0.8870354078356546</v>
      </c>
      <c r="D28" s="38"/>
      <c r="F28" s="69"/>
      <c r="G28" s="69"/>
      <c r="H28" s="69"/>
      <c r="I28" s="69"/>
      <c r="J28" s="69"/>
      <c r="K28" s="69"/>
      <c r="L28" s="69"/>
      <c r="M28" s="69"/>
      <c r="N28" s="69"/>
      <c r="O28" s="69"/>
      <c r="P28" s="28"/>
      <c r="AE28" s="9"/>
    </row>
    <row r="29" spans="1:31" hidden="1" x14ac:dyDescent="0.35">
      <c r="A29" s="1"/>
      <c r="B29" s="2"/>
      <c r="C29" s="55"/>
      <c r="D29" s="38"/>
      <c r="F29" s="69"/>
      <c r="G29" s="69"/>
      <c r="H29" s="69"/>
      <c r="I29" s="69"/>
      <c r="J29" s="69"/>
      <c r="K29" s="69"/>
      <c r="L29" s="69"/>
      <c r="M29" s="69"/>
      <c r="N29" s="69"/>
      <c r="O29" s="69"/>
      <c r="P29" s="28"/>
      <c r="AE29" s="9"/>
    </row>
    <row r="30" spans="1:31" ht="16" thickBot="1" x14ac:dyDescent="0.4">
      <c r="A30" s="1"/>
      <c r="B30" s="2"/>
      <c r="C30" s="8"/>
      <c r="D30" s="8"/>
      <c r="F30" s="69"/>
      <c r="G30" s="69"/>
      <c r="H30" s="69"/>
      <c r="I30" s="69"/>
      <c r="J30" s="69"/>
      <c r="K30" s="69"/>
      <c r="L30" s="69"/>
      <c r="M30" s="69"/>
      <c r="N30" s="69"/>
      <c r="O30" s="69"/>
      <c r="P30" s="28"/>
      <c r="AE30" s="9"/>
    </row>
    <row r="31" spans="1:31" s="58" customFormat="1" x14ac:dyDescent="0.35">
      <c r="B31" s="124" t="s">
        <v>72</v>
      </c>
      <c r="C31" s="110" t="s">
        <v>9</v>
      </c>
      <c r="D31" s="110" t="s">
        <v>18</v>
      </c>
      <c r="E31" s="125" t="s">
        <v>40</v>
      </c>
      <c r="F31" s="59"/>
      <c r="G31" s="59"/>
      <c r="H31" s="59"/>
      <c r="I31" s="59"/>
      <c r="J31" s="59" t="s">
        <v>3</v>
      </c>
      <c r="K31" s="59"/>
      <c r="L31" s="59"/>
      <c r="M31" s="59"/>
      <c r="N31" s="59"/>
      <c r="O31" s="59"/>
      <c r="P31" s="59"/>
      <c r="AE31" s="60"/>
    </row>
    <row r="32" spans="1:31" x14ac:dyDescent="0.35">
      <c r="A32" s="29"/>
      <c r="B32" s="126" t="str">
        <f>IF(C10="IBR15","IBR15",IF(C10="PAYE","PAYE",IF(C10="IBR10","IBR10",IF(C10="REPAYE","REPAYE"))))</f>
        <v>IBR15</v>
      </c>
      <c r="C32" s="127">
        <f>IF(C6=0,"",IF(F96="Ineligible","Ineligible",SUM(F82:AD82)))</f>
        <v>1332040.3634617561</v>
      </c>
      <c r="D32" s="71">
        <f>IF(C6=0,"",IF(F96="Ineligible","Ineligible",IF(C11=0.1,Y85,IF(C11=0.15,AD85,"ERROR"))))</f>
        <v>15263.022108681456</v>
      </c>
      <c r="E32" s="128">
        <f>AA71</f>
        <v>5036.7972958648807</v>
      </c>
      <c r="F32" s="69"/>
      <c r="G32" s="69"/>
      <c r="H32" s="69"/>
      <c r="I32" s="69"/>
      <c r="J32" s="187">
        <f>C32+E32</f>
        <v>1337077.1607576211</v>
      </c>
      <c r="K32" s="69"/>
      <c r="L32" s="69"/>
      <c r="M32" s="69"/>
      <c r="N32" s="69"/>
      <c r="O32" s="69"/>
      <c r="P32" s="28"/>
      <c r="Z32" s="10">
        <f>C32+E32</f>
        <v>1337077.1607576211</v>
      </c>
      <c r="AE32" s="9"/>
    </row>
    <row r="33" spans="1:35" hidden="1" x14ac:dyDescent="0.35">
      <c r="A33" s="1"/>
      <c r="B33" s="126" t="s">
        <v>90</v>
      </c>
      <c r="C33" s="127">
        <f>IF(C6=0,"",IF(F99="Ineligible","Ineligible",SUM(F87:Y87)))</f>
        <v>643375.11458254047</v>
      </c>
      <c r="D33" s="71">
        <f>IF(C6=0,"",IF(F99="Ineligible","Ineligible",Y93))</f>
        <v>657790.43736535602</v>
      </c>
      <c r="E33" s="128">
        <f>IF(C6=0,"",IF(F99="Ineligible","Ineligible",Z71))</f>
        <v>260485.01319668099</v>
      </c>
      <c r="F33" s="69"/>
      <c r="G33" s="69"/>
      <c r="H33" s="69"/>
      <c r="I33" s="69" t="s">
        <v>87</v>
      </c>
      <c r="J33" s="188"/>
      <c r="K33" s="69"/>
      <c r="L33" s="69"/>
      <c r="M33" s="69"/>
      <c r="N33" s="69"/>
      <c r="O33" s="69"/>
      <c r="P33" s="39"/>
      <c r="Q33" s="40"/>
      <c r="R33" s="40"/>
      <c r="S33" s="40"/>
      <c r="T33" s="40"/>
      <c r="U33" s="40"/>
      <c r="V33" s="40"/>
      <c r="W33" s="40"/>
      <c r="X33" s="40"/>
      <c r="Y33" s="40"/>
      <c r="Z33" s="81">
        <f>C33+E33</f>
        <v>903860.1277792214</v>
      </c>
      <c r="AA33" s="40"/>
      <c r="AB33" s="40"/>
      <c r="AC33" s="40"/>
      <c r="AD33" s="40"/>
      <c r="AE33" s="41"/>
      <c r="AF33" s="40"/>
      <c r="AG33" s="40"/>
      <c r="AH33" s="40"/>
      <c r="AI33" s="40"/>
    </row>
    <row r="34" spans="1:35" hidden="1" x14ac:dyDescent="0.35">
      <c r="A34" s="1"/>
      <c r="B34" s="126" t="s">
        <v>41</v>
      </c>
      <c r="C34" s="127">
        <f>NPV(0.025,F87:Y87)</f>
        <v>479760.78551246051</v>
      </c>
      <c r="D34" s="71">
        <f>IF(C6=0,"",IF(F99="Ineligible","Ineligible",NPV(0.025,0,0,0,0,0,0,0,0,0,0,0,0,0,0,0,0,0,0,0,Y93)))</f>
        <v>401430.39041447855</v>
      </c>
      <c r="E34" s="128">
        <f>IF(C6=0,"",IF(F99="Ineligible","Ineligible",NPV(0.025,F71:Z71)))</f>
        <v>155089.20449183759</v>
      </c>
      <c r="F34" s="69"/>
      <c r="G34" s="69"/>
      <c r="H34" s="69"/>
      <c r="I34" s="69"/>
      <c r="J34" s="188"/>
      <c r="K34" s="69"/>
      <c r="L34" s="69"/>
      <c r="M34" s="69"/>
      <c r="N34" s="69"/>
      <c r="O34" s="69"/>
      <c r="P34" s="39"/>
      <c r="Q34" s="40"/>
      <c r="R34" s="40"/>
      <c r="S34" s="40"/>
      <c r="T34" s="40"/>
      <c r="U34" s="40"/>
      <c r="V34" s="40"/>
      <c r="W34" s="40"/>
      <c r="X34" s="40"/>
      <c r="Y34" s="40"/>
      <c r="Z34" s="40"/>
      <c r="AA34" s="40"/>
      <c r="AB34" s="40"/>
      <c r="AC34" s="40"/>
      <c r="AD34" s="40"/>
      <c r="AE34" s="41"/>
      <c r="AF34" s="40"/>
      <c r="AG34" s="40"/>
      <c r="AH34" s="40"/>
      <c r="AI34" s="40"/>
    </row>
    <row r="35" spans="1:35" hidden="1" x14ac:dyDescent="0.35">
      <c r="A35" s="1"/>
      <c r="B35" s="126" t="s">
        <v>74</v>
      </c>
      <c r="C35" s="127">
        <f>IF(C6=0,"",IF(F99="Ineligible","Ineligible",SUM(F87:O87)))</f>
        <v>245757.21607847032</v>
      </c>
      <c r="D35" s="129">
        <f>PAYE_PSLF</f>
        <v>654758.34186942619</v>
      </c>
      <c r="E35" s="128" t="s">
        <v>50</v>
      </c>
      <c r="F35" s="69"/>
      <c r="G35" s="69"/>
      <c r="H35" s="69"/>
      <c r="I35" s="69"/>
      <c r="J35" s="188"/>
      <c r="K35" s="69"/>
      <c r="L35" s="69"/>
      <c r="M35" s="69"/>
      <c r="N35" s="69"/>
      <c r="O35" s="69"/>
      <c r="P35" s="39"/>
      <c r="Q35" s="40"/>
      <c r="R35" s="40"/>
      <c r="S35" s="40"/>
      <c r="T35" s="40"/>
      <c r="U35" s="40"/>
      <c r="V35" s="40"/>
      <c r="W35" s="40"/>
      <c r="X35" s="40"/>
      <c r="Y35" s="40"/>
      <c r="Z35" s="40"/>
      <c r="AA35" s="40"/>
      <c r="AB35" s="40"/>
      <c r="AC35" s="40"/>
      <c r="AD35" s="40"/>
      <c r="AE35" s="41"/>
      <c r="AF35" s="40"/>
      <c r="AG35" s="40"/>
      <c r="AH35" s="40"/>
      <c r="AI35" s="40"/>
    </row>
    <row r="36" spans="1:35" x14ac:dyDescent="0.35">
      <c r="A36" s="1"/>
      <c r="B36" s="126" t="s">
        <v>73</v>
      </c>
      <c r="C36" s="127">
        <f>IF(C7=0,"",IF(F100="Ineligible","Ineligible",SUM(F82:O82)))</f>
        <v>368635.82411770552</v>
      </c>
      <c r="D36" s="71">
        <f>IF(C7=0,"",IF(F100="Ineligible","Ineligible",O85))</f>
        <v>548698.70977790037</v>
      </c>
      <c r="E36" s="128" t="s">
        <v>50</v>
      </c>
      <c r="F36" s="69"/>
      <c r="G36" s="69"/>
      <c r="H36" s="69"/>
      <c r="I36" s="69"/>
      <c r="J36" s="187">
        <f>C36</f>
        <v>368635.82411770552</v>
      </c>
      <c r="K36" s="69"/>
      <c r="L36" s="69"/>
      <c r="M36" s="69"/>
      <c r="N36" s="69"/>
      <c r="O36" s="69"/>
      <c r="P36" s="39"/>
      <c r="Q36" s="40"/>
      <c r="R36" s="40"/>
      <c r="S36" s="40"/>
      <c r="T36" s="40"/>
      <c r="U36" s="40"/>
      <c r="V36" s="40"/>
      <c r="W36" s="40"/>
      <c r="X36" s="40"/>
      <c r="Y36" s="40"/>
      <c r="Z36" s="40"/>
      <c r="AA36" s="40"/>
      <c r="AB36" s="40"/>
      <c r="AC36" s="40"/>
      <c r="AD36" s="40"/>
      <c r="AE36" s="41"/>
      <c r="AF36" s="40"/>
      <c r="AG36" s="40"/>
      <c r="AH36" s="40"/>
      <c r="AI36" s="40"/>
    </row>
    <row r="37" spans="1:35" x14ac:dyDescent="0.35">
      <c r="A37" s="1"/>
      <c r="B37" s="130" t="s">
        <v>34</v>
      </c>
      <c r="C37" s="83">
        <f>IF(C6=0,"",SUM(F109:O109)*12)</f>
        <v>752281.2523748331</v>
      </c>
      <c r="D37" s="191" t="s">
        <v>87</v>
      </c>
      <c r="E37" s="192" t="s">
        <v>87</v>
      </c>
      <c r="F37" s="56" t="s">
        <v>55</v>
      </c>
      <c r="G37" s="56">
        <f>G102</f>
        <v>6269.0104364569424</v>
      </c>
      <c r="H37" s="42"/>
      <c r="I37" s="42"/>
      <c r="J37" s="189"/>
      <c r="K37" s="42"/>
      <c r="L37" s="42"/>
      <c r="M37" s="42"/>
      <c r="N37" s="42"/>
      <c r="O37" s="42"/>
      <c r="P37" s="11"/>
      <c r="Q37" s="11"/>
      <c r="R37" s="11"/>
      <c r="S37" s="11"/>
      <c r="T37" s="11"/>
      <c r="U37" s="11"/>
      <c r="V37" s="11"/>
      <c r="W37" s="11"/>
      <c r="X37" s="11"/>
      <c r="Y37" s="11"/>
      <c r="Z37" s="11"/>
      <c r="AA37" s="11"/>
      <c r="AB37" s="11"/>
      <c r="AC37" s="11"/>
      <c r="AD37" s="11"/>
      <c r="AE37" s="11"/>
      <c r="AF37" s="11"/>
      <c r="AG37" s="11"/>
      <c r="AH37" s="11"/>
      <c r="AI37" s="11"/>
    </row>
    <row r="38" spans="1:35" x14ac:dyDescent="0.35">
      <c r="A38" s="1"/>
      <c r="B38" s="126" t="s">
        <v>21</v>
      </c>
      <c r="C38" s="83">
        <f>IF(C6=0,"",SUM(F105:AI105)*12)</f>
        <v>1115547.5616862779</v>
      </c>
      <c r="D38" s="191" t="s">
        <v>87</v>
      </c>
      <c r="E38" s="192" t="s">
        <v>87</v>
      </c>
      <c r="F38" s="56" t="s">
        <v>56</v>
      </c>
      <c r="G38" s="56">
        <f>G103</f>
        <v>3718.4918722875937</v>
      </c>
      <c r="H38" s="69"/>
      <c r="I38" s="69"/>
      <c r="J38" s="188"/>
      <c r="K38" s="69"/>
      <c r="L38" s="69"/>
      <c r="M38" s="69"/>
      <c r="N38" s="69"/>
      <c r="O38" s="69"/>
      <c r="P38" s="11"/>
      <c r="Q38" s="11"/>
      <c r="R38" s="11"/>
      <c r="S38" s="11"/>
      <c r="T38" s="11"/>
      <c r="U38" s="11"/>
      <c r="V38" s="11"/>
      <c r="W38" s="11"/>
      <c r="X38" s="11"/>
      <c r="Y38" s="11"/>
      <c r="Z38" s="11"/>
      <c r="AA38" s="11"/>
      <c r="AB38" s="11"/>
      <c r="AC38" s="11"/>
      <c r="AD38" s="11"/>
      <c r="AE38" s="11"/>
      <c r="AF38" s="11"/>
      <c r="AG38" s="11"/>
      <c r="AH38" s="11"/>
      <c r="AI38" s="11"/>
    </row>
    <row r="39" spans="1:35" hidden="1" x14ac:dyDescent="0.35">
      <c r="A39" s="1"/>
      <c r="B39" s="126" t="s">
        <v>42</v>
      </c>
      <c r="C39" s="83">
        <f>IF(C6=0,"",NPV(0.025,F106:AI106))</f>
        <v>822130.72772737755</v>
      </c>
      <c r="D39" s="191" t="s">
        <v>87</v>
      </c>
      <c r="E39" s="192" t="s">
        <v>87</v>
      </c>
      <c r="F39" s="69"/>
      <c r="G39" s="69"/>
      <c r="H39" s="69"/>
      <c r="I39" s="69"/>
      <c r="J39" s="188"/>
      <c r="K39" s="69"/>
      <c r="L39" s="69"/>
      <c r="M39" s="69"/>
      <c r="N39" s="69"/>
      <c r="O39" s="69"/>
      <c r="P39" s="11"/>
      <c r="Q39" s="11"/>
      <c r="R39" s="11"/>
      <c r="S39" s="11"/>
      <c r="T39" s="11"/>
      <c r="U39" s="11"/>
      <c r="V39" s="11"/>
      <c r="W39" s="11"/>
      <c r="X39" s="11"/>
      <c r="Y39" s="11"/>
      <c r="Z39" s="11"/>
      <c r="AA39" s="11"/>
      <c r="AB39" s="11"/>
      <c r="AC39" s="11"/>
      <c r="AD39" s="11"/>
      <c r="AE39" s="11"/>
      <c r="AF39" s="11"/>
      <c r="AG39" s="11"/>
      <c r="AH39" s="11"/>
      <c r="AI39" s="11"/>
    </row>
    <row r="40" spans="1:35" x14ac:dyDescent="0.35">
      <c r="A40" s="1"/>
      <c r="B40" s="130" t="s">
        <v>22</v>
      </c>
      <c r="C40" s="83">
        <f>IF(C6=0,"",IF(K115="N/A","N/A",SUM(F115:AI115)*12))</f>
        <v>1221599.6455305279</v>
      </c>
      <c r="D40" s="191" t="s">
        <v>87</v>
      </c>
      <c r="E40" s="192" t="s">
        <v>87</v>
      </c>
      <c r="F40" s="57"/>
      <c r="G40" s="57">
        <f>G104</f>
        <v>3272.2728476130824</v>
      </c>
      <c r="H40" s="69"/>
      <c r="I40" s="69"/>
      <c r="J40" s="188"/>
      <c r="K40" s="69"/>
      <c r="L40" s="69"/>
      <c r="M40" s="69"/>
      <c r="N40" s="69"/>
      <c r="O40" s="69"/>
      <c r="P40" s="11"/>
      <c r="Q40" s="11"/>
      <c r="R40" s="11"/>
      <c r="S40" s="11"/>
      <c r="T40" s="11"/>
      <c r="U40" s="11"/>
      <c r="V40" s="11"/>
      <c r="W40" s="11"/>
      <c r="X40" s="11"/>
      <c r="Y40" s="11"/>
      <c r="Z40" s="11"/>
      <c r="AA40" s="11"/>
      <c r="AB40" s="11"/>
      <c r="AC40" s="11"/>
      <c r="AD40" s="11"/>
      <c r="AE40" s="11"/>
      <c r="AF40" s="11"/>
      <c r="AG40" s="11"/>
      <c r="AH40" s="11"/>
      <c r="AI40" s="11"/>
    </row>
    <row r="41" spans="1:35" hidden="1" x14ac:dyDescent="0.35">
      <c r="A41" s="1"/>
      <c r="B41" s="126" t="s">
        <v>88</v>
      </c>
      <c r="C41" s="83">
        <f>IF(C6=0,"",IF(K115="N/A","N/A",SUM(F127:Y127)*12))</f>
        <v>643375.11458254047</v>
      </c>
      <c r="D41" s="71">
        <f>IF(C6=0,"",IF(F99="Ineligible","Ineligible",Y126))</f>
        <v>599019.65351528884</v>
      </c>
      <c r="E41" s="128">
        <f>AB71</f>
        <v>237211.78279205438</v>
      </c>
      <c r="F41" s="69"/>
      <c r="G41" s="69"/>
      <c r="H41" s="69"/>
      <c r="I41" s="69" t="s">
        <v>87</v>
      </c>
      <c r="J41" s="188"/>
      <c r="K41" s="69"/>
      <c r="L41" s="69"/>
      <c r="M41" s="69"/>
      <c r="N41" s="69"/>
      <c r="O41" s="69"/>
      <c r="P41" s="11"/>
      <c r="Q41" s="11"/>
      <c r="R41" s="11"/>
      <c r="S41" s="11"/>
      <c r="T41" s="11"/>
      <c r="U41" s="11"/>
      <c r="V41" s="11"/>
      <c r="W41" s="11"/>
      <c r="X41" s="11"/>
      <c r="Y41" s="11"/>
      <c r="Z41" s="82">
        <f>C41+E41</f>
        <v>880586.89737459482</v>
      </c>
      <c r="AA41" s="11"/>
      <c r="AB41" s="11"/>
      <c r="AC41" s="11"/>
      <c r="AD41" s="11"/>
      <c r="AE41" s="11"/>
      <c r="AF41" s="11"/>
      <c r="AG41" s="11"/>
      <c r="AH41" s="11"/>
      <c r="AI41" s="11"/>
    </row>
    <row r="42" spans="1:35" x14ac:dyDescent="0.35">
      <c r="A42" s="1"/>
      <c r="B42" s="130" t="s">
        <v>85</v>
      </c>
      <c r="C42" s="13">
        <f>IF(C6=0,"",IF(K115="N/A","N/A",SUM(F127:O127)*12))</f>
        <v>245757.21607847034</v>
      </c>
      <c r="D42" s="71">
        <f>O126</f>
        <v>597503.60576732387</v>
      </c>
      <c r="E42" s="131" t="s">
        <v>50</v>
      </c>
      <c r="G42" s="15"/>
      <c r="H42" s="15"/>
      <c r="I42" s="15"/>
      <c r="J42" s="190">
        <f>C42</f>
        <v>245757.21607847034</v>
      </c>
      <c r="K42" s="15"/>
      <c r="L42" s="15"/>
      <c r="M42" s="15"/>
      <c r="N42" s="15"/>
      <c r="O42" s="15"/>
      <c r="P42" s="11"/>
      <c r="Q42" s="11"/>
      <c r="R42" s="11"/>
      <c r="S42" s="11"/>
      <c r="T42" s="11"/>
      <c r="U42" s="11"/>
      <c r="V42" s="11"/>
      <c r="W42" s="11"/>
      <c r="X42" s="11"/>
      <c r="Y42" s="11"/>
      <c r="Z42" s="11"/>
      <c r="AA42" s="11"/>
      <c r="AB42" s="11"/>
      <c r="AC42" s="11"/>
      <c r="AD42" s="11"/>
      <c r="AE42" s="11"/>
      <c r="AF42" s="11"/>
      <c r="AG42" s="11"/>
      <c r="AH42" s="11"/>
      <c r="AI42" s="11"/>
    </row>
    <row r="43" spans="1:35" ht="16" thickBot="1" x14ac:dyDescent="0.4">
      <c r="A43" s="1"/>
      <c r="B43" s="132" t="s">
        <v>89</v>
      </c>
      <c r="C43" s="111">
        <f>IF(C6=0,"",IF(K115="N/A","N/A",SUM(F127:AD127)*12))</f>
        <v>891391.70674912143</v>
      </c>
      <c r="D43" s="108">
        <f>AD126</f>
        <v>575173.85593199835</v>
      </c>
      <c r="E43" s="133">
        <f>AC71</f>
        <v>227768.84694907136</v>
      </c>
      <c r="F43" s="15"/>
      <c r="G43" s="15"/>
      <c r="H43" s="15"/>
      <c r="I43" s="15"/>
      <c r="J43" s="190">
        <f>C43+E43</f>
        <v>1119160.5536981928</v>
      </c>
      <c r="K43" s="15"/>
      <c r="L43" s="15"/>
      <c r="M43" s="15"/>
      <c r="N43" s="15"/>
      <c r="O43" s="15"/>
      <c r="P43" s="11"/>
      <c r="Q43" s="11"/>
      <c r="R43" s="11"/>
      <c r="S43" s="11"/>
      <c r="T43" s="11"/>
      <c r="U43" s="11"/>
      <c r="V43" s="11"/>
      <c r="W43" s="11"/>
      <c r="X43" s="11"/>
      <c r="Y43" s="11"/>
      <c r="Z43" s="82">
        <f>C43+E43</f>
        <v>1119160.5536981928</v>
      </c>
      <c r="AA43" s="11"/>
      <c r="AB43" s="11"/>
      <c r="AC43" s="11"/>
      <c r="AD43" s="11"/>
      <c r="AE43" s="11"/>
      <c r="AF43" s="11"/>
      <c r="AG43" s="11"/>
      <c r="AH43" s="11"/>
      <c r="AI43" s="11"/>
    </row>
    <row r="44" spans="1:35" x14ac:dyDescent="0.35">
      <c r="A44" s="1"/>
      <c r="B44" s="12"/>
      <c r="C44" s="13"/>
      <c r="D44" s="14"/>
      <c r="F44" s="15"/>
      <c r="G44" s="15"/>
      <c r="H44" s="15"/>
      <c r="I44" s="15"/>
      <c r="J44" s="15"/>
      <c r="K44" s="15"/>
      <c r="L44" s="15"/>
      <c r="M44" s="15"/>
      <c r="N44" s="15"/>
      <c r="O44" s="15"/>
      <c r="P44" s="11"/>
      <c r="Q44" s="11"/>
      <c r="R44" s="11"/>
      <c r="S44" s="11"/>
      <c r="T44" s="11"/>
      <c r="U44" s="11"/>
      <c r="V44" s="11"/>
      <c r="W44" s="11"/>
      <c r="X44" s="11"/>
      <c r="Y44" s="11"/>
      <c r="Z44" s="11"/>
      <c r="AA44" s="11"/>
      <c r="AB44" s="11"/>
      <c r="AC44" s="11"/>
      <c r="AD44" s="11"/>
      <c r="AE44" s="11"/>
      <c r="AF44" s="11"/>
      <c r="AG44" s="11"/>
      <c r="AH44" s="11"/>
      <c r="AI44" s="11"/>
    </row>
    <row r="45" spans="1:35" hidden="1" x14ac:dyDescent="0.35">
      <c r="A45" s="1"/>
      <c r="B45" s="12"/>
      <c r="C45" s="13"/>
      <c r="D45" s="14"/>
      <c r="F45" s="15"/>
      <c r="G45" s="15"/>
      <c r="H45" s="15"/>
      <c r="I45" s="15"/>
      <c r="J45" s="15"/>
      <c r="K45" s="15"/>
      <c r="L45" s="15"/>
      <c r="M45" s="15"/>
      <c r="N45" s="15"/>
      <c r="O45" s="15"/>
      <c r="P45" s="11"/>
      <c r="Q45" s="11"/>
      <c r="R45" s="11"/>
      <c r="S45" s="11"/>
      <c r="T45" s="11"/>
      <c r="U45" s="11"/>
      <c r="V45" s="11"/>
      <c r="W45" s="11"/>
      <c r="X45" s="11"/>
      <c r="Y45" s="11"/>
      <c r="Z45" s="11"/>
      <c r="AA45" s="11"/>
      <c r="AB45" s="11"/>
      <c r="AC45" s="11"/>
      <c r="AD45" s="11"/>
      <c r="AE45" s="11"/>
      <c r="AF45" s="11"/>
      <c r="AG45" s="11"/>
      <c r="AH45" s="11"/>
      <c r="AI45" s="11"/>
    </row>
    <row r="46" spans="1:35" hidden="1" x14ac:dyDescent="0.35">
      <c r="A46" s="1"/>
      <c r="B46" s="12"/>
      <c r="C46" s="16"/>
      <c r="D46" s="14"/>
      <c r="F46" s="15"/>
      <c r="G46" s="15"/>
      <c r="H46" s="15"/>
      <c r="I46" s="15"/>
      <c r="J46" s="15"/>
      <c r="K46" s="15"/>
      <c r="L46" s="15"/>
      <c r="M46" s="15"/>
      <c r="N46" s="15"/>
      <c r="O46" s="15"/>
      <c r="P46" s="11"/>
      <c r="Q46" s="11"/>
      <c r="R46" s="11"/>
      <c r="S46" s="11"/>
      <c r="T46" s="11"/>
      <c r="U46" s="11"/>
      <c r="V46" s="11"/>
      <c r="W46" s="11"/>
      <c r="X46" s="11"/>
      <c r="Y46" s="11"/>
      <c r="Z46" s="11"/>
      <c r="AA46" s="11"/>
      <c r="AB46" s="11"/>
      <c r="AC46" s="11"/>
      <c r="AD46" s="11"/>
      <c r="AE46" s="11"/>
      <c r="AF46" s="11"/>
      <c r="AG46" s="11"/>
      <c r="AH46" s="11"/>
      <c r="AI46" s="11"/>
    </row>
    <row r="47" spans="1:35" hidden="1" x14ac:dyDescent="0.35">
      <c r="B47" s="2"/>
      <c r="C47" s="43"/>
      <c r="D47" s="14"/>
      <c r="G47" s="15"/>
      <c r="H47" s="15"/>
      <c r="I47" s="15"/>
      <c r="J47" s="15"/>
      <c r="K47" s="15"/>
      <c r="L47" s="15"/>
      <c r="M47" s="15"/>
      <c r="N47" s="15"/>
      <c r="O47" s="15"/>
      <c r="P47" s="11"/>
      <c r="Q47" s="11"/>
      <c r="R47" s="11"/>
      <c r="S47" s="11"/>
      <c r="T47" s="11"/>
      <c r="U47" s="11"/>
      <c r="V47" s="11"/>
      <c r="W47" s="11"/>
      <c r="X47" s="11"/>
      <c r="Y47" s="11"/>
      <c r="Z47" s="11"/>
      <c r="AA47" s="11"/>
      <c r="AB47" s="11"/>
      <c r="AC47" s="11"/>
      <c r="AD47" s="11"/>
      <c r="AE47" s="11"/>
      <c r="AF47" s="11"/>
      <c r="AG47" s="11"/>
      <c r="AH47" s="11"/>
      <c r="AI47" s="11"/>
    </row>
    <row r="48" spans="1:35" hidden="1" x14ac:dyDescent="0.35">
      <c r="A48" s="1"/>
      <c r="B48" s="44"/>
      <c r="C48" s="43"/>
      <c r="D48" s="14"/>
      <c r="F48" s="15"/>
      <c r="G48" s="15"/>
      <c r="H48" s="15"/>
      <c r="I48" s="15"/>
      <c r="J48" s="15"/>
      <c r="K48" s="15"/>
      <c r="L48" s="15"/>
      <c r="M48" s="15"/>
      <c r="N48" s="15"/>
      <c r="O48" s="15"/>
      <c r="P48" s="40"/>
      <c r="Q48" s="40"/>
      <c r="R48" s="40"/>
      <c r="S48" s="40"/>
      <c r="T48" s="40"/>
      <c r="U48" s="40"/>
      <c r="V48" s="40"/>
      <c r="W48" s="40"/>
      <c r="X48" s="40"/>
      <c r="Y48" s="40"/>
      <c r="Z48" s="40"/>
      <c r="AA48" s="40"/>
      <c r="AB48" s="40"/>
      <c r="AC48" s="40"/>
      <c r="AD48" s="40"/>
      <c r="AE48" s="41"/>
      <c r="AF48" s="40"/>
      <c r="AG48" s="40"/>
      <c r="AH48" s="40"/>
      <c r="AI48" s="40"/>
    </row>
    <row r="49" spans="1:35" hidden="1" x14ac:dyDescent="0.35">
      <c r="A49" s="1"/>
      <c r="B49" s="44"/>
      <c r="C49" s="43"/>
      <c r="D49" s="14"/>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1"/>
      <c r="AF49" s="40"/>
      <c r="AG49" s="40"/>
      <c r="AH49" s="40"/>
      <c r="AI49" s="40"/>
    </row>
    <row r="50" spans="1:35" hidden="1" x14ac:dyDescent="0.35">
      <c r="A50" s="1"/>
      <c r="B50" s="44"/>
      <c r="C50" s="43"/>
      <c r="D50" s="14"/>
      <c r="G50" s="1" t="s">
        <v>60</v>
      </c>
      <c r="I50" s="61" t="s">
        <v>61</v>
      </c>
      <c r="AE50" s="9"/>
    </row>
    <row r="51" spans="1:35" hidden="1" x14ac:dyDescent="0.35">
      <c r="A51" s="1"/>
      <c r="B51" s="44" t="s">
        <v>58</v>
      </c>
      <c r="C51" s="43"/>
      <c r="D51" s="14"/>
      <c r="E51" s="1" t="s">
        <v>62</v>
      </c>
      <c r="F51" s="11">
        <v>68000</v>
      </c>
      <c r="G51" s="11">
        <f>F51*1.025</f>
        <v>69700</v>
      </c>
      <c r="H51" s="11">
        <f t="shared" ref="H51:W54" si="0">G51*1.025</f>
        <v>71442.5</v>
      </c>
      <c r="I51" s="11">
        <f t="shared" si="0"/>
        <v>73228.5625</v>
      </c>
      <c r="J51" s="11">
        <f t="shared" si="0"/>
        <v>75059.276562499988</v>
      </c>
      <c r="K51" s="11">
        <f t="shared" si="0"/>
        <v>76935.758476562478</v>
      </c>
      <c r="L51" s="11">
        <f t="shared" si="0"/>
        <v>78859.152438476536</v>
      </c>
      <c r="M51" s="11">
        <f t="shared" si="0"/>
        <v>80830.631249438447</v>
      </c>
      <c r="N51" s="11">
        <f t="shared" si="0"/>
        <v>82851.397030674401</v>
      </c>
      <c r="O51" s="11">
        <f t="shared" si="0"/>
        <v>84922.681956441258</v>
      </c>
      <c r="P51" s="11">
        <f t="shared" si="0"/>
        <v>87045.749005352278</v>
      </c>
      <c r="Q51" s="11">
        <f t="shared" si="0"/>
        <v>89221.89273048607</v>
      </c>
      <c r="R51" s="11">
        <f t="shared" si="0"/>
        <v>91452.44004874822</v>
      </c>
      <c r="S51" s="11">
        <f t="shared" si="0"/>
        <v>93738.751049966915</v>
      </c>
      <c r="T51" s="11">
        <f t="shared" si="0"/>
        <v>96082.219826216082</v>
      </c>
      <c r="U51" s="11">
        <f t="shared" si="0"/>
        <v>98484.275321871479</v>
      </c>
      <c r="V51" s="11">
        <f t="shared" si="0"/>
        <v>100946.38220491826</v>
      </c>
      <c r="W51" s="11">
        <f t="shared" si="0"/>
        <v>103470.04176004122</v>
      </c>
      <c r="X51" s="11">
        <f t="shared" ref="X51:AI54" si="1">W51*1.025</f>
        <v>106056.79280404224</v>
      </c>
      <c r="Y51" s="11">
        <f t="shared" si="1"/>
        <v>108708.21262414329</v>
      </c>
      <c r="Z51" s="11">
        <f t="shared" si="1"/>
        <v>111425.91793974685</v>
      </c>
      <c r="AA51" s="11">
        <f t="shared" si="1"/>
        <v>114211.56588824051</v>
      </c>
      <c r="AB51" s="11">
        <f t="shared" si="1"/>
        <v>117066.85503544651</v>
      </c>
      <c r="AC51" s="11">
        <f t="shared" si="1"/>
        <v>119993.52641133267</v>
      </c>
      <c r="AD51" s="11">
        <f t="shared" si="1"/>
        <v>122993.36457161598</v>
      </c>
      <c r="AE51" s="11">
        <f t="shared" si="1"/>
        <v>126068.19868590638</v>
      </c>
      <c r="AF51" s="11"/>
      <c r="AG51" s="11"/>
      <c r="AH51" s="11">
        <f t="shared" si="1"/>
        <v>0</v>
      </c>
      <c r="AI51" s="11">
        <f t="shared" si="1"/>
        <v>0</v>
      </c>
    </row>
    <row r="52" spans="1:35" hidden="1" x14ac:dyDescent="0.35">
      <c r="A52" s="1"/>
      <c r="B52" s="44"/>
      <c r="C52" s="43"/>
      <c r="D52" s="14"/>
      <c r="F52" s="11">
        <v>100000</v>
      </c>
      <c r="G52" s="11">
        <f>F52*1.025</f>
        <v>102499.99999999999</v>
      </c>
      <c r="H52" s="11">
        <f t="shared" si="0"/>
        <v>105062.49999999997</v>
      </c>
      <c r="I52" s="11">
        <f t="shared" si="0"/>
        <v>107689.06249999996</v>
      </c>
      <c r="J52" s="11">
        <f t="shared" si="0"/>
        <v>110381.28906249994</v>
      </c>
      <c r="K52" s="11">
        <f t="shared" si="0"/>
        <v>113140.82128906243</v>
      </c>
      <c r="L52" s="11">
        <f t="shared" si="0"/>
        <v>115969.34182128898</v>
      </c>
      <c r="M52" s="11">
        <f t="shared" si="0"/>
        <v>118868.5753668212</v>
      </c>
      <c r="N52" s="11">
        <f t="shared" si="0"/>
        <v>121840.28975099172</v>
      </c>
      <c r="O52" s="11">
        <f t="shared" si="0"/>
        <v>124886.29699476651</v>
      </c>
      <c r="P52" s="11">
        <f t="shared" si="0"/>
        <v>128008.45441963566</v>
      </c>
      <c r="Q52" s="11">
        <f t="shared" si="0"/>
        <v>131208.66578012652</v>
      </c>
      <c r="R52" s="11">
        <f t="shared" si="0"/>
        <v>134488.88242462967</v>
      </c>
      <c r="S52" s="11">
        <f t="shared" si="0"/>
        <v>137851.10448524539</v>
      </c>
      <c r="T52" s="11">
        <f t="shared" si="0"/>
        <v>141297.38209737651</v>
      </c>
      <c r="U52" s="11">
        <f t="shared" si="0"/>
        <v>144829.81664981091</v>
      </c>
      <c r="V52" s="11">
        <f t="shared" si="0"/>
        <v>148450.56206605615</v>
      </c>
      <c r="W52" s="11">
        <f t="shared" si="0"/>
        <v>152161.82611770753</v>
      </c>
      <c r="X52" s="11">
        <f t="shared" si="1"/>
        <v>155965.87177065021</v>
      </c>
      <c r="Y52" s="11">
        <f t="shared" si="1"/>
        <v>159865.01856491645</v>
      </c>
      <c r="Z52" s="11">
        <f t="shared" si="1"/>
        <v>163861.64402903934</v>
      </c>
      <c r="AA52" s="11">
        <f t="shared" si="1"/>
        <v>167958.1851297653</v>
      </c>
      <c r="AB52" s="11">
        <f t="shared" si="1"/>
        <v>172157.13975800943</v>
      </c>
      <c r="AC52" s="11">
        <f t="shared" si="1"/>
        <v>176461.06825195966</v>
      </c>
      <c r="AD52" s="11">
        <f t="shared" si="1"/>
        <v>180872.59495825865</v>
      </c>
      <c r="AE52" s="11">
        <f t="shared" si="1"/>
        <v>185394.40983221511</v>
      </c>
      <c r="AF52" s="11"/>
      <c r="AG52" s="11"/>
      <c r="AH52" s="11">
        <f t="shared" si="1"/>
        <v>0</v>
      </c>
      <c r="AI52" s="11">
        <f t="shared" si="1"/>
        <v>0</v>
      </c>
    </row>
    <row r="53" spans="1:35" hidden="1" x14ac:dyDescent="0.35">
      <c r="A53" s="1"/>
      <c r="B53" s="44" t="s">
        <v>57</v>
      </c>
      <c r="C53" s="43"/>
      <c r="D53" s="14"/>
      <c r="F53" s="11">
        <v>150000</v>
      </c>
      <c r="G53" s="11">
        <f>F53*1.025</f>
        <v>153750</v>
      </c>
      <c r="H53" s="11">
        <f t="shared" si="0"/>
        <v>157593.75</v>
      </c>
      <c r="I53" s="11">
        <f t="shared" si="0"/>
        <v>161533.59375</v>
      </c>
      <c r="J53" s="11">
        <f t="shared" si="0"/>
        <v>165571.93359375</v>
      </c>
      <c r="K53" s="11">
        <f t="shared" si="0"/>
        <v>169711.23193359372</v>
      </c>
      <c r="L53" s="11">
        <f t="shared" si="0"/>
        <v>173954.01273193356</v>
      </c>
      <c r="M53" s="11">
        <f t="shared" si="0"/>
        <v>178302.86305023188</v>
      </c>
      <c r="N53" s="11">
        <f t="shared" si="0"/>
        <v>182760.43462648767</v>
      </c>
      <c r="O53" s="11">
        <f t="shared" si="0"/>
        <v>187329.44549214985</v>
      </c>
      <c r="P53" s="11">
        <f t="shared" si="0"/>
        <v>192012.68162945358</v>
      </c>
      <c r="Q53" s="11">
        <f t="shared" si="0"/>
        <v>196812.9986701899</v>
      </c>
      <c r="R53" s="11">
        <f t="shared" si="0"/>
        <v>201733.32363694464</v>
      </c>
      <c r="S53" s="11">
        <f t="shared" si="0"/>
        <v>206776.65672786825</v>
      </c>
      <c r="T53" s="11">
        <f t="shared" si="0"/>
        <v>211946.07314606494</v>
      </c>
      <c r="U53" s="11">
        <f t="shared" si="0"/>
        <v>217244.72497471655</v>
      </c>
      <c r="V53" s="11">
        <f t="shared" si="0"/>
        <v>222675.84309908445</v>
      </c>
      <c r="W53" s="11">
        <f t="shared" si="0"/>
        <v>228242.73917656153</v>
      </c>
      <c r="X53" s="11">
        <f t="shared" si="1"/>
        <v>233948.80765597554</v>
      </c>
      <c r="Y53" s="11">
        <f t="shared" si="1"/>
        <v>239797.52784737491</v>
      </c>
      <c r="Z53" s="11">
        <f t="shared" si="1"/>
        <v>245792.46604355925</v>
      </c>
      <c r="AA53" s="11">
        <f t="shared" si="1"/>
        <v>251937.27769464822</v>
      </c>
      <c r="AB53" s="11">
        <f t="shared" si="1"/>
        <v>258235.7096370144</v>
      </c>
      <c r="AC53" s="11">
        <f t="shared" si="1"/>
        <v>264691.60237793974</v>
      </c>
      <c r="AD53" s="11">
        <f t="shared" si="1"/>
        <v>271308.89243738819</v>
      </c>
      <c r="AE53" s="11">
        <f t="shared" si="1"/>
        <v>278091.61474832287</v>
      </c>
      <c r="AF53" s="11"/>
      <c r="AG53" s="11"/>
      <c r="AH53" s="11">
        <f t="shared" si="1"/>
        <v>0</v>
      </c>
      <c r="AI53" s="11">
        <f t="shared" si="1"/>
        <v>0</v>
      </c>
    </row>
    <row r="54" spans="1:35" hidden="1" x14ac:dyDescent="0.35">
      <c r="A54" s="1"/>
      <c r="B54" s="44" t="s">
        <v>59</v>
      </c>
      <c r="C54" s="43"/>
      <c r="D54" s="14"/>
      <c r="F54" s="11">
        <v>200000</v>
      </c>
      <c r="G54" s="11">
        <f>F54*1.025</f>
        <v>204999.99999999997</v>
      </c>
      <c r="H54" s="11">
        <f t="shared" si="0"/>
        <v>210124.99999999994</v>
      </c>
      <c r="I54" s="11">
        <f t="shared" si="0"/>
        <v>215378.12499999991</v>
      </c>
      <c r="J54" s="11">
        <f t="shared" si="0"/>
        <v>220762.57812499988</v>
      </c>
      <c r="K54" s="11">
        <f t="shared" si="0"/>
        <v>226281.64257812485</v>
      </c>
      <c r="L54" s="11">
        <f t="shared" si="0"/>
        <v>231938.68364257796</v>
      </c>
      <c r="M54" s="11">
        <f t="shared" si="0"/>
        <v>237737.1507336424</v>
      </c>
      <c r="N54" s="11">
        <f t="shared" si="0"/>
        <v>243680.57950198345</v>
      </c>
      <c r="O54" s="11">
        <f t="shared" si="0"/>
        <v>249772.59398953302</v>
      </c>
      <c r="P54" s="11">
        <f t="shared" si="0"/>
        <v>256016.90883927132</v>
      </c>
      <c r="Q54" s="11">
        <f t="shared" si="0"/>
        <v>262417.33156025305</v>
      </c>
      <c r="R54" s="11">
        <f t="shared" si="0"/>
        <v>268977.76484925934</v>
      </c>
      <c r="S54" s="11">
        <f t="shared" si="0"/>
        <v>275702.20897049078</v>
      </c>
      <c r="T54" s="11">
        <f t="shared" si="0"/>
        <v>282594.76419475302</v>
      </c>
      <c r="U54" s="11">
        <f t="shared" si="0"/>
        <v>289659.63329962181</v>
      </c>
      <c r="V54" s="11">
        <f t="shared" si="0"/>
        <v>296901.12413211231</v>
      </c>
      <c r="W54" s="11">
        <f t="shared" si="0"/>
        <v>304323.65223541507</v>
      </c>
      <c r="X54" s="11">
        <f t="shared" si="1"/>
        <v>311931.74354130041</v>
      </c>
      <c r="Y54" s="11">
        <f t="shared" si="1"/>
        <v>319730.0371298329</v>
      </c>
      <c r="Z54" s="11">
        <f t="shared" si="1"/>
        <v>327723.28805807867</v>
      </c>
      <c r="AA54" s="11">
        <f t="shared" si="1"/>
        <v>335916.37025953061</v>
      </c>
      <c r="AB54" s="11">
        <f t="shared" si="1"/>
        <v>344314.27951601887</v>
      </c>
      <c r="AC54" s="11">
        <f t="shared" si="1"/>
        <v>352922.13650391932</v>
      </c>
      <c r="AD54" s="11">
        <f t="shared" si="1"/>
        <v>361745.18991651729</v>
      </c>
      <c r="AE54" s="11">
        <f t="shared" si="1"/>
        <v>370788.81966443022</v>
      </c>
      <c r="AF54" s="11"/>
      <c r="AG54" s="11"/>
      <c r="AH54" s="11">
        <f t="shared" si="1"/>
        <v>0</v>
      </c>
      <c r="AI54" s="11">
        <f t="shared" si="1"/>
        <v>0</v>
      </c>
    </row>
    <row r="55" spans="1:35" hidden="1" x14ac:dyDescent="0.35">
      <c r="A55" s="1"/>
      <c r="B55" s="44"/>
      <c r="C55" s="43"/>
      <c r="D55" s="14"/>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row>
    <row r="56" spans="1:35" ht="139.5" hidden="1" x14ac:dyDescent="0.35">
      <c r="A56" s="1"/>
      <c r="B56" s="178" t="s">
        <v>63</v>
      </c>
      <c r="C56" s="43"/>
      <c r="D56" s="14"/>
      <c r="E56" s="1" t="s">
        <v>35</v>
      </c>
      <c r="F56" s="11">
        <v>6100</v>
      </c>
      <c r="G56" s="11">
        <v>6252.4999999999991</v>
      </c>
      <c r="H56" s="11">
        <v>6408.8124999999982</v>
      </c>
      <c r="I56" s="11">
        <v>6569.0328124999978</v>
      </c>
      <c r="J56" s="11">
        <v>6733.2586328124971</v>
      </c>
      <c r="K56" s="11">
        <v>6901.5900986328088</v>
      </c>
      <c r="L56" s="11">
        <v>7074.129851098628</v>
      </c>
      <c r="M56" s="11">
        <v>7250.9830973760927</v>
      </c>
      <c r="N56" s="11">
        <v>7432.2576748104948</v>
      </c>
      <c r="O56" s="11">
        <v>7618.0641166807563</v>
      </c>
      <c r="P56" s="11">
        <v>7808.5157195977745</v>
      </c>
      <c r="Q56" s="11">
        <v>8003.7286125877181</v>
      </c>
      <c r="R56" s="11">
        <v>8203.8218279024095</v>
      </c>
      <c r="S56" s="11">
        <v>8408.9173735999684</v>
      </c>
      <c r="T56" s="11">
        <v>8619.1403079399661</v>
      </c>
      <c r="U56" s="11">
        <v>8834.6188156384651</v>
      </c>
      <c r="V56" s="11">
        <v>9055.4842860294266</v>
      </c>
      <c r="W56" s="11">
        <v>9281.8713931801612</v>
      </c>
      <c r="X56" s="11">
        <v>9513.9181780096642</v>
      </c>
      <c r="Y56" s="11">
        <v>9751.7661324599048</v>
      </c>
      <c r="Z56" s="11">
        <v>9995.5602857714021</v>
      </c>
      <c r="AA56" s="11"/>
      <c r="AB56" s="11"/>
      <c r="AC56" s="11"/>
      <c r="AD56" s="11"/>
      <c r="AE56" s="11"/>
      <c r="AF56" s="11"/>
      <c r="AG56" s="11"/>
      <c r="AH56" s="11"/>
      <c r="AI56" s="11"/>
    </row>
    <row r="57" spans="1:35" hidden="1" x14ac:dyDescent="0.35">
      <c r="A57" s="1"/>
      <c r="B57" s="44"/>
      <c r="C57" s="43"/>
      <c r="D57" s="14"/>
      <c r="E57" s="1" t="s">
        <v>36</v>
      </c>
      <c r="F57" s="11">
        <v>3900</v>
      </c>
      <c r="G57" s="11">
        <v>3997.4999999999995</v>
      </c>
      <c r="H57" s="11">
        <v>4097.4374999999991</v>
      </c>
      <c r="I57" s="11">
        <v>4199.8734374999985</v>
      </c>
      <c r="J57" s="11">
        <v>4304.8702734374983</v>
      </c>
      <c r="K57" s="11">
        <v>4412.4920302734354</v>
      </c>
      <c r="L57" s="11">
        <v>4522.804331030271</v>
      </c>
      <c r="M57" s="11">
        <v>4635.8744393060269</v>
      </c>
      <c r="N57" s="11">
        <v>4751.7713002886776</v>
      </c>
      <c r="O57" s="11">
        <v>4870.5655827958944</v>
      </c>
      <c r="P57" s="11">
        <v>4992.329722365791</v>
      </c>
      <c r="Q57" s="11">
        <v>5117.1379654249349</v>
      </c>
      <c r="R57" s="11">
        <v>5245.0664145605579</v>
      </c>
      <c r="S57" s="11">
        <v>5376.1930749245712</v>
      </c>
      <c r="T57" s="11">
        <v>5510.5979017976852</v>
      </c>
      <c r="U57" s="11">
        <v>5648.3628493426268</v>
      </c>
      <c r="V57" s="11">
        <v>5789.5719205761916</v>
      </c>
      <c r="W57" s="11">
        <v>5934.3112185905957</v>
      </c>
      <c r="X57" s="11">
        <v>6082.6689990553605</v>
      </c>
      <c r="Y57" s="11">
        <v>6234.7357240317442</v>
      </c>
      <c r="Z57" s="11">
        <v>6390.6041171325369</v>
      </c>
      <c r="AA57" s="11"/>
      <c r="AB57" s="11"/>
      <c r="AC57" s="11"/>
      <c r="AD57" s="11"/>
      <c r="AE57" s="11"/>
      <c r="AF57" s="11"/>
      <c r="AG57" s="11"/>
      <c r="AH57" s="11"/>
      <c r="AI57" s="11"/>
    </row>
    <row r="58" spans="1:35" hidden="1" x14ac:dyDescent="0.35">
      <c r="A58" s="1"/>
      <c r="B58" s="44"/>
      <c r="C58" s="43"/>
      <c r="D58" s="14"/>
      <c r="E58" s="1" t="s">
        <v>37</v>
      </c>
      <c r="F58" s="11">
        <v>10000</v>
      </c>
      <c r="G58" s="11">
        <v>10250</v>
      </c>
      <c r="H58" s="11">
        <v>10506.249999999998</v>
      </c>
      <c r="I58" s="11">
        <v>10768.906249999996</v>
      </c>
      <c r="J58" s="11">
        <v>11038.128906249995</v>
      </c>
      <c r="K58" s="11">
        <v>11314.082128906244</v>
      </c>
      <c r="L58" s="11">
        <v>11596.9341821289</v>
      </c>
      <c r="M58" s="11">
        <v>11886.857536682121</v>
      </c>
      <c r="N58" s="11">
        <v>12184.028975099172</v>
      </c>
      <c r="O58" s="11">
        <v>12488.629699476651</v>
      </c>
      <c r="P58" s="11">
        <v>12800.845441963565</v>
      </c>
      <c r="Q58" s="11">
        <v>13120.866578012654</v>
      </c>
      <c r="R58" s="11">
        <v>13448.888242462968</v>
      </c>
      <c r="S58" s="11">
        <v>13785.110448524541</v>
      </c>
      <c r="T58" s="11">
        <v>14129.738209737654</v>
      </c>
      <c r="U58" s="11">
        <v>14482.981664981095</v>
      </c>
      <c r="V58" s="11">
        <v>14845.056206605621</v>
      </c>
      <c r="W58" s="11">
        <v>15216.182611770761</v>
      </c>
      <c r="X58" s="11">
        <v>15596.587177065028</v>
      </c>
      <c r="Y58" s="11">
        <v>15986.501856491652</v>
      </c>
      <c r="Z58" s="11">
        <v>16386.164402903942</v>
      </c>
      <c r="AA58" s="11"/>
      <c r="AB58" s="11"/>
      <c r="AC58" s="11"/>
      <c r="AD58" s="11"/>
      <c r="AE58" s="11"/>
      <c r="AF58" s="11"/>
      <c r="AG58" s="11"/>
      <c r="AH58" s="11"/>
      <c r="AI58" s="11"/>
    </row>
    <row r="59" spans="1:35" hidden="1" x14ac:dyDescent="0.35">
      <c r="A59" s="1"/>
      <c r="B59" s="44"/>
      <c r="C59" s="43"/>
      <c r="D59" s="14"/>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row>
    <row r="60" spans="1:35" hidden="1" x14ac:dyDescent="0.35">
      <c r="A60" s="1"/>
      <c r="B60" s="44"/>
      <c r="C60" s="43"/>
      <c r="D60" s="14"/>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row>
    <row r="61" spans="1:35" hidden="1" x14ac:dyDescent="0.35">
      <c r="A61" s="1"/>
      <c r="B61" s="44"/>
      <c r="C61" s="43"/>
      <c r="D61" s="14"/>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row>
    <row r="62" spans="1:35" hidden="1" x14ac:dyDescent="0.35">
      <c r="A62" s="1"/>
      <c r="B62" s="44"/>
      <c r="C62" s="43"/>
      <c r="D62" s="14"/>
      <c r="E62" s="179">
        <v>0</v>
      </c>
      <c r="F62" s="8">
        <v>0</v>
      </c>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row>
    <row r="63" spans="1:35" hidden="1" x14ac:dyDescent="0.35">
      <c r="A63" s="1"/>
      <c r="B63" s="44"/>
      <c r="C63" s="43"/>
      <c r="D63" s="14"/>
      <c r="E63" s="179">
        <v>0.1</v>
      </c>
      <c r="F63" s="8">
        <v>8925</v>
      </c>
      <c r="G63" s="11">
        <v>9148.125</v>
      </c>
      <c r="H63" s="11">
        <v>9376.828125</v>
      </c>
      <c r="I63" s="11">
        <v>9611.2488281249989</v>
      </c>
      <c r="J63" s="11">
        <v>9851.5300488281227</v>
      </c>
      <c r="K63" s="11">
        <v>10097.818300048824</v>
      </c>
      <c r="L63" s="11">
        <v>10350.263757550045</v>
      </c>
      <c r="M63" s="11">
        <v>10609.020351488794</v>
      </c>
      <c r="N63" s="11">
        <v>10874.245860276013</v>
      </c>
      <c r="O63" s="11">
        <v>11146.102006782912</v>
      </c>
      <c r="P63" s="11">
        <v>11424.754556952485</v>
      </c>
      <c r="Q63" s="11">
        <v>11710.373420876296</v>
      </c>
      <c r="R63" s="11">
        <v>12003.132756398203</v>
      </c>
      <c r="S63" s="11">
        <v>12303.211075308158</v>
      </c>
      <c r="T63" s="11">
        <v>12610.791352190861</v>
      </c>
      <c r="U63" s="11">
        <v>12926.061135995631</v>
      </c>
      <c r="V63" s="11">
        <v>13249.21266439552</v>
      </c>
      <c r="W63" s="11">
        <v>13580.442981005406</v>
      </c>
      <c r="X63" s="11">
        <v>13919.954055530539</v>
      </c>
      <c r="Y63" s="11">
        <v>14267.952906918801</v>
      </c>
      <c r="Z63" s="11">
        <v>14624.651729591769</v>
      </c>
      <c r="AA63" s="11"/>
      <c r="AB63" s="11"/>
      <c r="AC63" s="11"/>
      <c r="AD63" s="11"/>
      <c r="AE63" s="11"/>
      <c r="AF63" s="11"/>
      <c r="AG63" s="11"/>
      <c r="AH63" s="11"/>
      <c r="AI63" s="11"/>
    </row>
    <row r="64" spans="1:35" hidden="1" x14ac:dyDescent="0.35">
      <c r="A64" s="1"/>
      <c r="B64" s="44"/>
      <c r="C64" s="43"/>
      <c r="D64" s="14"/>
      <c r="E64" s="179">
        <v>0.15</v>
      </c>
      <c r="F64" s="8">
        <v>36250</v>
      </c>
      <c r="G64" s="11">
        <v>37156.25</v>
      </c>
      <c r="H64" s="11">
        <v>38085.15625</v>
      </c>
      <c r="I64" s="11">
        <v>39037.28515625</v>
      </c>
      <c r="J64" s="11">
        <v>40013.21728515625</v>
      </c>
      <c r="K64" s="11">
        <v>41013.547717285153</v>
      </c>
      <c r="L64" s="11">
        <v>42038.886410217281</v>
      </c>
      <c r="M64" s="11">
        <v>43089.858570472708</v>
      </c>
      <c r="N64" s="11">
        <v>44167.105034734523</v>
      </c>
      <c r="O64" s="11">
        <v>45271.282660602883</v>
      </c>
      <c r="P64" s="11">
        <v>46403.064727117948</v>
      </c>
      <c r="Q64" s="11">
        <v>47563.141345295895</v>
      </c>
      <c r="R64" s="11">
        <v>48752.219878928285</v>
      </c>
      <c r="S64" s="11">
        <v>49971.025375901489</v>
      </c>
      <c r="T64" s="11">
        <v>51220.301010299023</v>
      </c>
      <c r="U64" s="11">
        <v>52500.808535556491</v>
      </c>
      <c r="V64" s="11">
        <v>53813.328748945401</v>
      </c>
      <c r="W64" s="11">
        <v>55158.661967669032</v>
      </c>
      <c r="X64" s="11">
        <v>56537.62851686075</v>
      </c>
      <c r="Y64" s="11">
        <v>57951.069229782261</v>
      </c>
      <c r="Z64" s="11">
        <v>59399.845960526814</v>
      </c>
      <c r="AA64" s="11"/>
      <c r="AB64" s="11"/>
      <c r="AC64" s="11"/>
      <c r="AD64" s="11"/>
      <c r="AE64" s="11"/>
      <c r="AF64" s="11"/>
      <c r="AG64" s="11"/>
      <c r="AH64" s="11"/>
      <c r="AI64" s="11"/>
    </row>
    <row r="65" spans="1:35" hidden="1" x14ac:dyDescent="0.35">
      <c r="A65" s="1"/>
      <c r="B65" s="44"/>
      <c r="C65" s="43"/>
      <c r="D65" s="14"/>
      <c r="E65" s="179">
        <v>0.25</v>
      </c>
      <c r="F65" s="8">
        <v>87850</v>
      </c>
      <c r="G65" s="11">
        <v>90046.249999999985</v>
      </c>
      <c r="H65" s="11">
        <v>92297.406249999971</v>
      </c>
      <c r="I65" s="11">
        <v>94604.841406249965</v>
      </c>
      <c r="J65" s="11">
        <v>96969.962441406213</v>
      </c>
      <c r="K65" s="11">
        <v>99394.211502441365</v>
      </c>
      <c r="L65" s="11">
        <v>101879.06679000238</v>
      </c>
      <c r="M65" s="11">
        <v>104426.04345975243</v>
      </c>
      <c r="N65" s="11">
        <v>107036.69454624623</v>
      </c>
      <c r="O65" s="11">
        <v>109712.61190990238</v>
      </c>
      <c r="P65" s="11">
        <v>112455.42720764993</v>
      </c>
      <c r="Q65" s="11">
        <v>115266.81288784117</v>
      </c>
      <c r="R65" s="11">
        <v>118148.48321003719</v>
      </c>
      <c r="S65" s="11">
        <v>121102.1952902881</v>
      </c>
      <c r="T65" s="11">
        <v>124129.75017254529</v>
      </c>
      <c r="U65" s="11">
        <v>127232.99392685891</v>
      </c>
      <c r="V65" s="11">
        <v>130413.81877503036</v>
      </c>
      <c r="W65" s="11">
        <v>133674.1642444061</v>
      </c>
      <c r="X65" s="11">
        <v>137016.01835051624</v>
      </c>
      <c r="Y65" s="11">
        <v>140441.41880927913</v>
      </c>
      <c r="Z65" s="11">
        <v>143952.45427951109</v>
      </c>
      <c r="AA65" s="11"/>
      <c r="AB65" s="11"/>
      <c r="AC65" s="11"/>
      <c r="AD65" s="11"/>
      <c r="AE65" s="11"/>
      <c r="AF65" s="11"/>
      <c r="AG65" s="11"/>
      <c r="AH65" s="11"/>
      <c r="AI65" s="11"/>
    </row>
    <row r="66" spans="1:35" hidden="1" x14ac:dyDescent="0.35">
      <c r="A66" s="1"/>
      <c r="B66" s="44"/>
      <c r="C66" s="43"/>
      <c r="D66" s="14"/>
      <c r="E66" s="179">
        <v>0.28000000000000003</v>
      </c>
      <c r="F66" s="112">
        <v>183250</v>
      </c>
      <c r="G66" s="11">
        <v>187831.24999999997</v>
      </c>
      <c r="H66" s="11">
        <v>192527.03124999994</v>
      </c>
      <c r="I66" s="11">
        <v>197340.20703124991</v>
      </c>
      <c r="J66" s="11">
        <v>202273.71220703115</v>
      </c>
      <c r="K66" s="11">
        <v>207330.5550122069</v>
      </c>
      <c r="L66" s="11">
        <v>212513.81888751205</v>
      </c>
      <c r="M66" s="11">
        <v>217826.66435969985</v>
      </c>
      <c r="N66" s="11">
        <v>223272.33096869232</v>
      </c>
      <c r="O66" s="11">
        <v>228854.13924290962</v>
      </c>
      <c r="P66" s="11">
        <v>234575.49272398234</v>
      </c>
      <c r="Q66" s="11">
        <v>240439.88004208187</v>
      </c>
      <c r="R66" s="11">
        <v>246450.87704313389</v>
      </c>
      <c r="S66" s="11">
        <v>252612.14896921223</v>
      </c>
      <c r="T66" s="11">
        <v>258927.45269344252</v>
      </c>
      <c r="U66" s="11">
        <v>265400.63901077857</v>
      </c>
      <c r="V66" s="11">
        <v>272035.654986048</v>
      </c>
      <c r="W66" s="11">
        <v>278836.54636069917</v>
      </c>
      <c r="X66" s="11">
        <v>285807.46001971664</v>
      </c>
      <c r="Y66" s="11">
        <v>292952.64652020956</v>
      </c>
      <c r="Z66" s="11">
        <v>300276.46268321475</v>
      </c>
      <c r="AA66" s="11"/>
      <c r="AB66" s="11"/>
      <c r="AC66" s="11"/>
      <c r="AD66" s="11"/>
      <c r="AE66" s="11"/>
      <c r="AF66" s="11"/>
      <c r="AG66" s="11"/>
      <c r="AH66" s="11"/>
      <c r="AI66" s="11"/>
    </row>
    <row r="67" spans="1:35" hidden="1" x14ac:dyDescent="0.35">
      <c r="A67" s="1"/>
      <c r="B67" s="44"/>
      <c r="C67" s="43"/>
      <c r="D67" s="14"/>
      <c r="E67" s="179">
        <v>0.33</v>
      </c>
      <c r="F67" s="8">
        <v>398350</v>
      </c>
      <c r="G67" s="11">
        <v>408308.74999999994</v>
      </c>
      <c r="H67" s="11">
        <v>418516.46874999988</v>
      </c>
      <c r="I67" s="11">
        <v>428979.38046874985</v>
      </c>
      <c r="J67" s="11">
        <v>439703.86498046858</v>
      </c>
      <c r="K67" s="11">
        <v>450696.46160498029</v>
      </c>
      <c r="L67" s="11">
        <v>461963.87314510474</v>
      </c>
      <c r="M67" s="11">
        <v>473512.96997373231</v>
      </c>
      <c r="N67" s="11">
        <v>485350.79422307556</v>
      </c>
      <c r="O67" s="11">
        <v>497484.56407865242</v>
      </c>
      <c r="P67" s="11">
        <v>509921.67818061868</v>
      </c>
      <c r="Q67" s="11">
        <v>522669.72013513412</v>
      </c>
      <c r="R67" s="11">
        <v>535736.46313851245</v>
      </c>
      <c r="S67" s="11">
        <v>549129.87471697526</v>
      </c>
      <c r="T67" s="11">
        <v>562858.12158489961</v>
      </c>
      <c r="U67" s="11">
        <v>576929.57462452201</v>
      </c>
      <c r="V67" s="11">
        <v>591352.81399013498</v>
      </c>
      <c r="W67" s="11">
        <v>606136.63433988835</v>
      </c>
      <c r="X67" s="11">
        <v>621290.05019838549</v>
      </c>
      <c r="Y67" s="11">
        <v>636822.30145334511</v>
      </c>
      <c r="Z67" s="11">
        <v>652742.85898967867</v>
      </c>
      <c r="AA67" s="11"/>
      <c r="AB67" s="11"/>
      <c r="AC67" s="11"/>
      <c r="AD67" s="11"/>
      <c r="AE67" s="11"/>
      <c r="AF67" s="11"/>
      <c r="AG67" s="11"/>
      <c r="AH67" s="11"/>
      <c r="AI67" s="11"/>
    </row>
    <row r="68" spans="1:35" hidden="1" x14ac:dyDescent="0.35">
      <c r="A68" s="1"/>
      <c r="B68" s="44"/>
      <c r="C68" s="43"/>
      <c r="D68" s="14"/>
      <c r="E68" s="179">
        <v>0.35</v>
      </c>
      <c r="F68" s="71">
        <v>400000</v>
      </c>
      <c r="G68" s="11">
        <v>409999.99999999994</v>
      </c>
      <c r="H68" s="11">
        <v>420249.99999999988</v>
      </c>
      <c r="I68" s="11">
        <v>430756.24999999983</v>
      </c>
      <c r="J68" s="11">
        <v>441525.15624999977</v>
      </c>
      <c r="K68" s="11">
        <v>452563.28515624971</v>
      </c>
      <c r="L68" s="11">
        <v>463877.36728515592</v>
      </c>
      <c r="M68" s="11">
        <v>475474.30146728479</v>
      </c>
      <c r="N68" s="11">
        <v>487361.1590039669</v>
      </c>
      <c r="O68" s="11">
        <v>499545.18797906605</v>
      </c>
      <c r="P68" s="11">
        <v>512033.81767854263</v>
      </c>
      <c r="Q68" s="11">
        <v>524834.6631205061</v>
      </c>
      <c r="R68" s="11">
        <v>537955.52969851869</v>
      </c>
      <c r="S68" s="11">
        <v>551404.41794098157</v>
      </c>
      <c r="T68" s="11">
        <v>565189.52838950604</v>
      </c>
      <c r="U68" s="11">
        <v>579319.26659924362</v>
      </c>
      <c r="V68" s="11">
        <v>593802.24826422462</v>
      </c>
      <c r="W68" s="11">
        <v>608647.30447083013</v>
      </c>
      <c r="X68" s="11">
        <v>623863.48708260083</v>
      </c>
      <c r="Y68" s="11">
        <v>639460.07425966579</v>
      </c>
      <c r="Z68" s="11">
        <v>655446.57611615735</v>
      </c>
      <c r="AA68" s="11"/>
      <c r="AB68" s="11"/>
      <c r="AC68" s="11"/>
      <c r="AD68" s="11"/>
      <c r="AE68" s="11"/>
      <c r="AF68" s="11"/>
      <c r="AG68" s="11"/>
      <c r="AH68" s="11"/>
      <c r="AI68" s="11"/>
    </row>
    <row r="69" spans="1:35" hidden="1" x14ac:dyDescent="0.35">
      <c r="A69" s="1"/>
      <c r="B69" s="44"/>
      <c r="C69" s="43"/>
      <c r="D69" s="14"/>
      <c r="E69" s="180">
        <v>0.39600000000000002</v>
      </c>
      <c r="F69" s="11"/>
      <c r="G69" s="11"/>
      <c r="H69" s="11"/>
      <c r="I69" s="11"/>
      <c r="J69" s="11"/>
      <c r="K69" s="11"/>
      <c r="L69" s="11"/>
      <c r="M69" s="11"/>
      <c r="N69" s="11"/>
      <c r="O69" s="11"/>
      <c r="P69" s="11"/>
      <c r="Q69" s="11"/>
      <c r="R69" s="11"/>
      <c r="S69" s="11"/>
      <c r="T69" s="11"/>
      <c r="U69" s="11"/>
      <c r="V69" s="11"/>
      <c r="W69" s="11"/>
      <c r="X69" s="11"/>
      <c r="Y69" s="11"/>
      <c r="Z69" s="11"/>
      <c r="AA69" s="11" t="s">
        <v>86</v>
      </c>
      <c r="AB69" s="11"/>
      <c r="AC69" s="11"/>
      <c r="AD69" s="11"/>
      <c r="AE69" s="11"/>
      <c r="AF69" s="11"/>
      <c r="AG69" s="11"/>
      <c r="AH69" s="11"/>
      <c r="AI69" s="11"/>
    </row>
    <row r="70" spans="1:35" hidden="1" x14ac:dyDescent="0.35">
      <c r="A70" s="1"/>
      <c r="B70" s="44"/>
      <c r="C70" s="43"/>
      <c r="D70" s="14"/>
      <c r="F70" s="11"/>
      <c r="G70" s="11"/>
      <c r="H70" s="11"/>
      <c r="I70" s="11"/>
      <c r="J70" s="11"/>
      <c r="K70" s="11"/>
      <c r="L70" s="11"/>
      <c r="M70" s="11"/>
      <c r="N70" s="11"/>
      <c r="O70" s="11"/>
      <c r="P70" s="11"/>
      <c r="Q70" s="11"/>
      <c r="R70" s="11"/>
      <c r="S70" s="11"/>
      <c r="T70" s="11"/>
      <c r="U70" s="11"/>
      <c r="V70" s="11"/>
      <c r="W70" s="11"/>
      <c r="X70" s="11" t="s">
        <v>38</v>
      </c>
      <c r="Y70" s="11"/>
      <c r="Z70" s="11">
        <f>(Z76-Z58)+D33</f>
        <v>1137258.5626439778</v>
      </c>
      <c r="AA70" s="11">
        <f>(Z76-Z58)+D32</f>
        <v>494731.14738730312</v>
      </c>
      <c r="AB70" s="11">
        <f>(Z76-Z58)+D41</f>
        <v>1078487.7787939105</v>
      </c>
      <c r="AC70" s="11">
        <f>(Z76-Z58)+D43</f>
        <v>1054641.9812106201</v>
      </c>
      <c r="AD70" s="11"/>
      <c r="AE70" s="11"/>
      <c r="AF70" s="11"/>
      <c r="AG70" s="11"/>
      <c r="AH70" s="11"/>
      <c r="AI70" s="11"/>
    </row>
    <row r="71" spans="1:35" hidden="1" x14ac:dyDescent="0.35">
      <c r="A71" s="1"/>
      <c r="B71" s="44"/>
      <c r="C71" s="43"/>
      <c r="D71" s="14"/>
      <c r="E71" s="11" t="s">
        <v>39</v>
      </c>
      <c r="F71" s="11">
        <v>0</v>
      </c>
      <c r="G71" s="11">
        <v>0</v>
      </c>
      <c r="H71" s="11">
        <v>0</v>
      </c>
      <c r="I71" s="11">
        <v>0</v>
      </c>
      <c r="J71" s="11">
        <v>0</v>
      </c>
      <c r="K71" s="11">
        <v>0</v>
      </c>
      <c r="L71" s="11">
        <v>0</v>
      </c>
      <c r="M71" s="11">
        <v>0</v>
      </c>
      <c r="N71" s="11">
        <v>0</v>
      </c>
      <c r="O71" s="11">
        <v>0</v>
      </c>
      <c r="P71" s="11">
        <v>0</v>
      </c>
      <c r="Q71" s="11">
        <v>0</v>
      </c>
      <c r="R71" s="11">
        <v>0</v>
      </c>
      <c r="S71" s="11">
        <v>0</v>
      </c>
      <c r="T71" s="11">
        <v>0</v>
      </c>
      <c r="U71" s="11">
        <v>0</v>
      </c>
      <c r="V71" s="11">
        <v>0</v>
      </c>
      <c r="W71" s="11">
        <v>0</v>
      </c>
      <c r="X71" s="11">
        <v>0</v>
      </c>
      <c r="Y71" s="11">
        <v>0</v>
      </c>
      <c r="Z71" s="11">
        <f>IF(
Z70&lt;=Z63,
D33*E63,
IF(
Z70&lt;=Z64,
D33*E64,
IF(
Z70&lt;=Z65,
D33*E65,
IF(
Z70&lt;=Z66,
D33*E66,
IF(
Z70&lt;=Z67,
D33*E67,
IF(
Z70&lt;=Z68,
D33*E68,
D33*E69
))))))</f>
        <v>260485.01319668099</v>
      </c>
      <c r="AA71" s="181">
        <f>IF(
AA70&lt;=Z63,
D32*E63,
IF(
AA70&lt;=Z64,
D32*E64,
IF(
AA70&lt;=Z65,
D32*E65,
IF(
AA70&lt;=Z66,
D32*E66,
IF(
AA70&lt;=Z67,
D32*E67,
IF(
AA70&lt;=Z68,
D32*E68,
D32*E69
))))))</f>
        <v>5036.7972958648807</v>
      </c>
      <c r="AB71" s="11">
        <f>IF(
AB70&lt;=Z63,
D41*E63,
IF(
AB70&lt;=Z64,
D41*E64,
IF(
AB70&lt;=Z65,
D41*E65,
IF(
AB70&lt;=Z66,
D41*E66,
IF(
AB70&lt;=Z67,
D41*E67,
IF(
AB70&lt;=Z68,
D41*E68,
D41*E69
))))))</f>
        <v>237211.78279205438</v>
      </c>
      <c r="AC71" s="11">
        <f>IF(
AC70&lt;=Z63,
D43*E63,
IF(
AC70&lt;=Z64,
D43*E64,
IF(
AC70&lt;=Z65,
D43*E65,
IF(
AC70&lt;=Z66,
D43*E66,
IF(
AC70&lt;=Z67,
D43*E67,
IF(
AC70&lt;=Z68,
D43*E68,
D43*E69
))))))</f>
        <v>227768.84694907136</v>
      </c>
      <c r="AD71" s="11"/>
      <c r="AE71" s="11"/>
      <c r="AF71" s="11"/>
      <c r="AG71" s="11"/>
      <c r="AH71" s="11"/>
      <c r="AI71" s="11"/>
    </row>
    <row r="72" spans="1:35" x14ac:dyDescent="0.35">
      <c r="A72" s="1"/>
      <c r="B72" s="44"/>
      <c r="C72" s="43"/>
      <c r="D72" s="14"/>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row>
    <row r="73" spans="1:35" x14ac:dyDescent="0.35">
      <c r="B73" s="2"/>
      <c r="C73" s="279" t="s">
        <v>17</v>
      </c>
      <c r="D73" s="279"/>
      <c r="E73" s="279"/>
      <c r="F73" s="9">
        <v>1</v>
      </c>
      <c r="G73" s="9">
        <f t="shared" ref="G73:AD73" si="2">F73+1</f>
        <v>2</v>
      </c>
      <c r="H73" s="9">
        <f t="shared" si="2"/>
        <v>3</v>
      </c>
      <c r="I73" s="9">
        <f t="shared" si="2"/>
        <v>4</v>
      </c>
      <c r="J73" s="9">
        <f t="shared" si="2"/>
        <v>5</v>
      </c>
      <c r="K73" s="9">
        <f t="shared" si="2"/>
        <v>6</v>
      </c>
      <c r="L73" s="9">
        <f t="shared" si="2"/>
        <v>7</v>
      </c>
      <c r="M73" s="9">
        <f t="shared" si="2"/>
        <v>8</v>
      </c>
      <c r="N73" s="9">
        <f t="shared" si="2"/>
        <v>9</v>
      </c>
      <c r="O73" s="9">
        <f t="shared" si="2"/>
        <v>10</v>
      </c>
      <c r="P73" s="9">
        <f t="shared" si="2"/>
        <v>11</v>
      </c>
      <c r="Q73" s="9">
        <f t="shared" si="2"/>
        <v>12</v>
      </c>
      <c r="R73" s="9">
        <f t="shared" si="2"/>
        <v>13</v>
      </c>
      <c r="S73" s="9">
        <f t="shared" si="2"/>
        <v>14</v>
      </c>
      <c r="T73" s="9">
        <f t="shared" si="2"/>
        <v>15</v>
      </c>
      <c r="U73" s="9">
        <f t="shared" si="2"/>
        <v>16</v>
      </c>
      <c r="V73" s="9">
        <f t="shared" si="2"/>
        <v>17</v>
      </c>
      <c r="W73" s="9">
        <f t="shared" si="2"/>
        <v>18</v>
      </c>
      <c r="X73" s="9">
        <f t="shared" si="2"/>
        <v>19</v>
      </c>
      <c r="Y73" s="9">
        <f t="shared" si="2"/>
        <v>20</v>
      </c>
      <c r="Z73" s="9">
        <f t="shared" si="2"/>
        <v>21</v>
      </c>
      <c r="AA73" s="9">
        <f t="shared" si="2"/>
        <v>22</v>
      </c>
      <c r="AB73" s="9">
        <f t="shared" si="2"/>
        <v>23</v>
      </c>
      <c r="AC73" s="9">
        <f t="shared" si="2"/>
        <v>24</v>
      </c>
      <c r="AD73" s="9">
        <f t="shared" si="2"/>
        <v>25</v>
      </c>
      <c r="AE73" s="9"/>
      <c r="AF73" s="9"/>
      <c r="AG73" s="9"/>
      <c r="AH73" s="9">
        <v>29</v>
      </c>
      <c r="AI73" s="9">
        <v>30</v>
      </c>
    </row>
    <row r="74" spans="1:35" x14ac:dyDescent="0.35">
      <c r="B74" s="29" t="s">
        <v>75</v>
      </c>
      <c r="C74" s="72" t="s">
        <v>93</v>
      </c>
      <c r="D74" s="72"/>
      <c r="E74" s="72"/>
      <c r="F74" s="40">
        <v>0</v>
      </c>
      <c r="G74" s="40">
        <v>0</v>
      </c>
      <c r="H74" s="40">
        <v>0</v>
      </c>
      <c r="I74" s="40">
        <v>0</v>
      </c>
      <c r="J74" s="40">
        <v>0</v>
      </c>
      <c r="K74" s="40">
        <v>0</v>
      </c>
      <c r="L74" s="40">
        <v>0</v>
      </c>
      <c r="M74" s="40">
        <v>0</v>
      </c>
      <c r="N74" s="40">
        <v>0</v>
      </c>
      <c r="O74" s="40">
        <v>0</v>
      </c>
      <c r="P74" s="40">
        <v>0</v>
      </c>
      <c r="Q74" s="40">
        <v>0</v>
      </c>
      <c r="R74" s="40">
        <v>0</v>
      </c>
      <c r="S74" s="40">
        <v>0</v>
      </c>
      <c r="T74" s="40">
        <v>0</v>
      </c>
      <c r="U74" s="40">
        <v>0</v>
      </c>
      <c r="V74" s="40">
        <v>0</v>
      </c>
      <c r="W74" s="40">
        <v>0</v>
      </c>
      <c r="X74" s="40">
        <v>0</v>
      </c>
      <c r="Y74" s="40">
        <v>0</v>
      </c>
      <c r="Z74" s="40">
        <v>0</v>
      </c>
      <c r="AA74" s="40">
        <v>0</v>
      </c>
      <c r="AB74" s="40">
        <v>0</v>
      </c>
      <c r="AC74" s="40">
        <v>0</v>
      </c>
      <c r="AD74" s="40">
        <v>0</v>
      </c>
    </row>
    <row r="75" spans="1:35" x14ac:dyDescent="0.35">
      <c r="A75" s="1"/>
      <c r="B75" s="18" t="s">
        <v>75</v>
      </c>
      <c r="C75" s="274" t="s">
        <v>32</v>
      </c>
      <c r="D75" s="274"/>
      <c r="E75" s="274"/>
      <c r="F75" s="182">
        <v>80000</v>
      </c>
      <c r="G75" s="182">
        <v>105000</v>
      </c>
      <c r="H75" s="182">
        <v>178000</v>
      </c>
      <c r="I75" s="182">
        <v>300000</v>
      </c>
      <c r="J75" s="182">
        <f>I75*1.03</f>
        <v>309000</v>
      </c>
      <c r="K75" s="182">
        <f t="shared" ref="K75:AD75" si="3">J75*1.03</f>
        <v>318270</v>
      </c>
      <c r="L75" s="182">
        <f t="shared" si="3"/>
        <v>327818.10000000003</v>
      </c>
      <c r="M75" s="182">
        <f t="shared" si="3"/>
        <v>337652.64300000004</v>
      </c>
      <c r="N75" s="182">
        <f t="shared" si="3"/>
        <v>347782.22229000006</v>
      </c>
      <c r="O75" s="182">
        <f t="shared" si="3"/>
        <v>358215.68895870005</v>
      </c>
      <c r="P75" s="182">
        <f t="shared" si="3"/>
        <v>368962.15962746105</v>
      </c>
      <c r="Q75" s="182">
        <f t="shared" si="3"/>
        <v>380031.02441628487</v>
      </c>
      <c r="R75" s="182">
        <f t="shared" si="3"/>
        <v>391431.95514877344</v>
      </c>
      <c r="S75" s="182">
        <f t="shared" si="3"/>
        <v>403174.91380323668</v>
      </c>
      <c r="T75" s="182">
        <f t="shared" si="3"/>
        <v>415270.16121733381</v>
      </c>
      <c r="U75" s="182">
        <f t="shared" si="3"/>
        <v>427728.26605385385</v>
      </c>
      <c r="V75" s="182">
        <f t="shared" si="3"/>
        <v>440560.11403546948</v>
      </c>
      <c r="W75" s="182">
        <f t="shared" si="3"/>
        <v>453776.91745653359</v>
      </c>
      <c r="X75" s="182">
        <f t="shared" si="3"/>
        <v>467390.22498022963</v>
      </c>
      <c r="Y75" s="182">
        <f t="shared" si="3"/>
        <v>481411.9317296365</v>
      </c>
      <c r="Z75" s="182">
        <f t="shared" si="3"/>
        <v>495854.28968152561</v>
      </c>
      <c r="AA75" s="182">
        <f t="shared" si="3"/>
        <v>510729.91837197141</v>
      </c>
      <c r="AB75" s="182">
        <f t="shared" si="3"/>
        <v>526051.81592313061</v>
      </c>
      <c r="AC75" s="182">
        <f t="shared" si="3"/>
        <v>541833.37040082458</v>
      </c>
      <c r="AD75" s="182">
        <f t="shared" si="3"/>
        <v>558088.37151284935</v>
      </c>
      <c r="AE75" s="19"/>
      <c r="AF75" s="19"/>
      <c r="AG75" s="19"/>
      <c r="AH75" s="19"/>
      <c r="AI75" s="19"/>
    </row>
    <row r="76" spans="1:35" ht="16" thickBot="1" x14ac:dyDescent="0.4">
      <c r="A76" s="1"/>
      <c r="C76" s="274" t="s">
        <v>33</v>
      </c>
      <c r="D76" s="274"/>
      <c r="E76" s="274"/>
      <c r="F76" s="20">
        <f>IF(
F75&gt;200000+N("If income is greater than 200k THEN"),
F75+N("He has no exemption, so AGI is his income")+N("If income is less than or equal to 200k THEN"),
IF(
F75&gt;F53+N("If income is greater than 150k but less than or equal to 200 k THEN"),
(F75*0.99)+N("AGI is 99 percent of income")+N("If his income is less than or equal to 150k THEN"),
IF(
F75&gt;F52+N("If his income is greater than 100k but less than or equal to 150k THEN"),
(F75*0.98)+N("AGI equals 98 percent of income")+N("If his income is less than or equal to 100k THEN"),
IF(
F75&gt;F51+N("IF income is greater than 68k but less than or equal to 100k THEN"),
(F75*0.97)+N("AGI equals 97 percent of income")+N("If income less than or equal to 68k, THEN"),
(F75*0.96)+N("AGI equals 96 percent of income")))))</f>
        <v>77600</v>
      </c>
      <c r="G76" s="20">
        <f t="shared" ref="G76:AD76" si="4">IF(
G75&gt;200000+N("If income is greater than 200k THEN"),
G75+N("He has no exemption, so AGI is his income")+N("If income is less than or equal to 200k THEN"),
IF(
G75&gt;G53+N("If income is greater than 150k but less than or equal to 200 k THEN"),
(G75*0.99)+N("AGI is 99 percent of income")+N("If his income is less than or equal to 150k THEN"),
IF(
G75&gt;G52+N("If his income is greater than 100k but less than or equal to 150k THEN"),
(G75*0.98)+N("AGI equals 98 percent of income")+N("If his income is less than or equal to 100k THEN"),
IF(
G75&gt;G51+N("IF income is greater than 68k but less than or equal to 100k THEN"),
(G75*0.97)+N("AGI equals 97 percent of income")+N("If income less than or equal to 68k, THEN"),
(G75*0.96)+N("AGI equals 96 percent of income")))))</f>
        <v>102900</v>
      </c>
      <c r="H76" s="20">
        <f t="shared" si="4"/>
        <v>176220</v>
      </c>
      <c r="I76" s="20">
        <f t="shared" si="4"/>
        <v>300000</v>
      </c>
      <c r="J76" s="20">
        <f t="shared" si="4"/>
        <v>309000</v>
      </c>
      <c r="K76" s="20">
        <f t="shared" si="4"/>
        <v>318270</v>
      </c>
      <c r="L76" s="20">
        <f t="shared" si="4"/>
        <v>327818.10000000003</v>
      </c>
      <c r="M76" s="20">
        <f t="shared" si="4"/>
        <v>337652.64300000004</v>
      </c>
      <c r="N76" s="20">
        <f t="shared" si="4"/>
        <v>347782.22229000006</v>
      </c>
      <c r="O76" s="20">
        <f t="shared" si="4"/>
        <v>358215.68895870005</v>
      </c>
      <c r="P76" s="20">
        <f t="shared" si="4"/>
        <v>368962.15962746105</v>
      </c>
      <c r="Q76" s="20">
        <f t="shared" si="4"/>
        <v>380031.02441628487</v>
      </c>
      <c r="R76" s="20">
        <f t="shared" si="4"/>
        <v>391431.95514877344</v>
      </c>
      <c r="S76" s="20">
        <f t="shared" si="4"/>
        <v>403174.91380323668</v>
      </c>
      <c r="T76" s="20">
        <f t="shared" si="4"/>
        <v>415270.16121733381</v>
      </c>
      <c r="U76" s="20">
        <f t="shared" si="4"/>
        <v>427728.26605385385</v>
      </c>
      <c r="V76" s="20">
        <f t="shared" si="4"/>
        <v>440560.11403546948</v>
      </c>
      <c r="W76" s="20">
        <f t="shared" si="4"/>
        <v>453776.91745653359</v>
      </c>
      <c r="X76" s="20">
        <f t="shared" si="4"/>
        <v>467390.22498022963</v>
      </c>
      <c r="Y76" s="20">
        <f t="shared" si="4"/>
        <v>481411.9317296365</v>
      </c>
      <c r="Z76" s="20">
        <f t="shared" si="4"/>
        <v>495854.28968152561</v>
      </c>
      <c r="AA76" s="20">
        <f t="shared" si="4"/>
        <v>510729.91837197141</v>
      </c>
      <c r="AB76" s="20">
        <f t="shared" si="4"/>
        <v>526051.81592313061</v>
      </c>
      <c r="AC76" s="20">
        <f t="shared" si="4"/>
        <v>541833.37040082458</v>
      </c>
      <c r="AD76" s="20">
        <f t="shared" si="4"/>
        <v>558088.37151284935</v>
      </c>
      <c r="AE76" s="20"/>
      <c r="AF76" s="20"/>
      <c r="AG76" s="20"/>
      <c r="AH76" s="20"/>
      <c r="AI76" s="20"/>
    </row>
    <row r="77" spans="1:35" x14ac:dyDescent="0.35">
      <c r="B77" s="85" t="s">
        <v>44</v>
      </c>
      <c r="C77" s="86"/>
      <c r="D77" s="90"/>
      <c r="F77" s="19">
        <f t="shared" ref="F77:AD77" si="5">(F78+(F74*F79))*1.5</f>
        <v>17655</v>
      </c>
      <c r="G77" s="19">
        <f t="shared" si="5"/>
        <v>18098.140500000001</v>
      </c>
      <c r="H77" s="19">
        <f t="shared" si="5"/>
        <v>18552.403826549998</v>
      </c>
      <c r="I77" s="19">
        <f t="shared" si="5"/>
        <v>19018.069162596403</v>
      </c>
      <c r="J77" s="19">
        <f t="shared" si="5"/>
        <v>19495.422698577571</v>
      </c>
      <c r="K77" s="19">
        <f t="shared" si="5"/>
        <v>19984.757808311864</v>
      </c>
      <c r="L77" s="19">
        <f t="shared" si="5"/>
        <v>20486.375229300491</v>
      </c>
      <c r="M77" s="19">
        <f t="shared" si="5"/>
        <v>21000.583247555929</v>
      </c>
      <c r="N77" s="19">
        <f t="shared" si="5"/>
        <v>21527.697887069582</v>
      </c>
      <c r="O77" s="19">
        <f t="shared" si="5"/>
        <v>22068.043104035027</v>
      </c>
      <c r="P77" s="19">
        <f t="shared" si="5"/>
        <v>22621.950985946303</v>
      </c>
      <c r="Q77" s="19">
        <f t="shared" si="5"/>
        <v>23189.761955693553</v>
      </c>
      <c r="R77" s="19">
        <f t="shared" si="5"/>
        <v>23771.824980781457</v>
      </c>
      <c r="S77" s="19">
        <f t="shared" si="5"/>
        <v>24368.497787799068</v>
      </c>
      <c r="T77" s="19">
        <f t="shared" si="5"/>
        <v>24980.147082272822</v>
      </c>
      <c r="U77" s="19">
        <f t="shared" si="5"/>
        <v>25607.148774037865</v>
      </c>
      <c r="V77" s="19">
        <f t="shared" si="5"/>
        <v>26249.888208266217</v>
      </c>
      <c r="W77" s="19">
        <f t="shared" si="5"/>
        <v>26908.760402293698</v>
      </c>
      <c r="X77" s="19">
        <f t="shared" si="5"/>
        <v>27584.170288391266</v>
      </c>
      <c r="Y77" s="19">
        <f t="shared" si="5"/>
        <v>28276.532962629881</v>
      </c>
      <c r="Z77" s="19">
        <f t="shared" si="5"/>
        <v>28986.273939991886</v>
      </c>
      <c r="AA77" s="19">
        <f t="shared" si="5"/>
        <v>29713.829415885681</v>
      </c>
      <c r="AB77" s="19">
        <f t="shared" si="5"/>
        <v>30459.646534224408</v>
      </c>
      <c r="AC77" s="19">
        <f t="shared" si="5"/>
        <v>31224.183662233438</v>
      </c>
      <c r="AD77" s="19">
        <f t="shared" si="5"/>
        <v>32007.910672155493</v>
      </c>
      <c r="AE77" s="19"/>
      <c r="AF77" s="19"/>
      <c r="AG77" s="19"/>
      <c r="AH77" s="19"/>
      <c r="AI77" s="19"/>
    </row>
    <row r="78" spans="1:35" x14ac:dyDescent="0.35">
      <c r="B78" s="91" t="s">
        <v>46</v>
      </c>
      <c r="D78" s="92">
        <v>11770</v>
      </c>
      <c r="F78" s="19">
        <f>D78</f>
        <v>11770</v>
      </c>
      <c r="G78" s="19">
        <f>F78*1.0251</f>
        <v>12065.427</v>
      </c>
      <c r="H78" s="19">
        <f t="shared" ref="H78:AD78" si="6">G78*1.0251</f>
        <v>12368.269217699999</v>
      </c>
      <c r="I78" s="19">
        <f t="shared" si="6"/>
        <v>12678.712775064268</v>
      </c>
      <c r="J78" s="19">
        <f t="shared" si="6"/>
        <v>12996.94846571838</v>
      </c>
      <c r="K78" s="19">
        <f t="shared" si="6"/>
        <v>13323.171872207909</v>
      </c>
      <c r="L78" s="19">
        <f t="shared" si="6"/>
        <v>13657.583486200327</v>
      </c>
      <c r="M78" s="19">
        <f t="shared" si="6"/>
        <v>14000.388831703953</v>
      </c>
      <c r="N78" s="19">
        <f t="shared" si="6"/>
        <v>14351.79859137972</v>
      </c>
      <c r="O78" s="19">
        <f t="shared" si="6"/>
        <v>14712.028736023351</v>
      </c>
      <c r="P78" s="19">
        <f t="shared" si="6"/>
        <v>15081.300657297536</v>
      </c>
      <c r="Q78" s="19">
        <f t="shared" si="6"/>
        <v>15459.841303795702</v>
      </c>
      <c r="R78" s="19">
        <f t="shared" si="6"/>
        <v>15847.883320520972</v>
      </c>
      <c r="S78" s="19">
        <f t="shared" si="6"/>
        <v>16245.665191866046</v>
      </c>
      <c r="T78" s="19">
        <f t="shared" si="6"/>
        <v>16653.431388181882</v>
      </c>
      <c r="U78" s="19">
        <f t="shared" si="6"/>
        <v>17071.432516025245</v>
      </c>
      <c r="V78" s="19">
        <f t="shared" si="6"/>
        <v>17499.925472177478</v>
      </c>
      <c r="W78" s="19">
        <f t="shared" si="6"/>
        <v>17939.173601529132</v>
      </c>
      <c r="X78" s="19">
        <f t="shared" si="6"/>
        <v>18389.446858927509</v>
      </c>
      <c r="Y78" s="19">
        <f t="shared" si="6"/>
        <v>18851.021975086587</v>
      </c>
      <c r="Z78" s="19">
        <f t="shared" si="6"/>
        <v>19324.182626661259</v>
      </c>
      <c r="AA78" s="19">
        <f t="shared" si="6"/>
        <v>19809.219610590455</v>
      </c>
      <c r="AB78" s="19">
        <f t="shared" si="6"/>
        <v>20306.431022816272</v>
      </c>
      <c r="AC78" s="19">
        <f t="shared" si="6"/>
        <v>20816.122441488958</v>
      </c>
      <c r="AD78" s="19">
        <f t="shared" si="6"/>
        <v>21338.60711477033</v>
      </c>
      <c r="AE78" s="19"/>
      <c r="AF78" s="19"/>
      <c r="AG78" s="19"/>
      <c r="AH78" s="19"/>
      <c r="AI78" s="19"/>
    </row>
    <row r="79" spans="1:35" ht="16" thickBot="1" x14ac:dyDescent="0.4">
      <c r="B79" s="88" t="s">
        <v>45</v>
      </c>
      <c r="C79" s="89"/>
      <c r="D79" s="93">
        <v>4160</v>
      </c>
      <c r="F79" s="19">
        <f>D79</f>
        <v>4160</v>
      </c>
      <c r="G79" s="19">
        <f>F79*1.0258</f>
        <v>4267.3280000000004</v>
      </c>
      <c r="H79" s="19">
        <f t="shared" ref="H79:AD79" si="7">G79*1.0258</f>
        <v>4377.4250624000006</v>
      </c>
      <c r="I79" s="19">
        <f t="shared" si="7"/>
        <v>4490.362629009921</v>
      </c>
      <c r="J79" s="19">
        <f t="shared" si="7"/>
        <v>4606.2139848383767</v>
      </c>
      <c r="K79" s="19">
        <f t="shared" si="7"/>
        <v>4725.054305647207</v>
      </c>
      <c r="L79" s="19">
        <f t="shared" si="7"/>
        <v>4846.9607067329052</v>
      </c>
      <c r="M79" s="19">
        <f t="shared" si="7"/>
        <v>4972.012292966614</v>
      </c>
      <c r="N79" s="19">
        <f t="shared" si="7"/>
        <v>5100.290210125153</v>
      </c>
      <c r="O79" s="19">
        <f t="shared" si="7"/>
        <v>5231.8776975463825</v>
      </c>
      <c r="P79" s="19">
        <f t="shared" si="7"/>
        <v>5366.8601421430794</v>
      </c>
      <c r="Q79" s="19">
        <f t="shared" si="7"/>
        <v>5505.325133810371</v>
      </c>
      <c r="R79" s="19">
        <f t="shared" si="7"/>
        <v>5647.3625222626788</v>
      </c>
      <c r="S79" s="19">
        <f t="shared" si="7"/>
        <v>5793.0644753370561</v>
      </c>
      <c r="T79" s="19">
        <f t="shared" si="7"/>
        <v>5942.5255388007527</v>
      </c>
      <c r="U79" s="19">
        <f t="shared" si="7"/>
        <v>6095.8426977018125</v>
      </c>
      <c r="V79" s="19">
        <f t="shared" si="7"/>
        <v>6253.1154393025199</v>
      </c>
      <c r="W79" s="19">
        <f t="shared" si="7"/>
        <v>6414.4458176365251</v>
      </c>
      <c r="X79" s="19">
        <f t="shared" si="7"/>
        <v>6579.9385197315478</v>
      </c>
      <c r="Y79" s="19">
        <f t="shared" si="7"/>
        <v>6749.7009335406219</v>
      </c>
      <c r="Z79" s="19">
        <f t="shared" si="7"/>
        <v>6923.8432176259703</v>
      </c>
      <c r="AA79" s="19">
        <f t="shared" si="7"/>
        <v>7102.4783726407204</v>
      </c>
      <c r="AB79" s="19">
        <f t="shared" si="7"/>
        <v>7285.7223146548513</v>
      </c>
      <c r="AC79" s="19">
        <f t="shared" si="7"/>
        <v>7473.6939503729463</v>
      </c>
      <c r="AD79" s="19">
        <f t="shared" si="7"/>
        <v>7666.5152542925689</v>
      </c>
      <c r="AE79" s="19"/>
      <c r="AF79" s="19"/>
      <c r="AG79" s="19"/>
      <c r="AH79" s="19"/>
      <c r="AI79" s="19"/>
    </row>
    <row r="80" spans="1:35" x14ac:dyDescent="0.35">
      <c r="B80" s="85" t="s">
        <v>4</v>
      </c>
      <c r="C80" s="86"/>
      <c r="D80" s="87">
        <f>C7</f>
        <v>7.6294230088091136E-2</v>
      </c>
      <c r="E80" s="30"/>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row>
    <row r="81" spans="1:35" ht="16" thickBot="1" x14ac:dyDescent="0.4">
      <c r="B81" s="91" t="s">
        <v>5</v>
      </c>
      <c r="D81" s="94">
        <f>F109*12</f>
        <v>75228.125237483313</v>
      </c>
      <c r="E81" s="45"/>
      <c r="G81" s="19"/>
      <c r="H81" s="19"/>
      <c r="I81" s="19"/>
      <c r="J81" s="19"/>
      <c r="K81" s="19"/>
      <c r="L81" s="19"/>
      <c r="M81" s="19"/>
      <c r="N81" s="19"/>
      <c r="O81" s="19"/>
      <c r="P81" s="19"/>
      <c r="Q81" s="19"/>
      <c r="R81" s="19"/>
      <c r="S81" s="19"/>
      <c r="T81" s="19"/>
      <c r="U81" s="19"/>
      <c r="V81" s="19"/>
      <c r="W81" s="19"/>
      <c r="X81" s="19"/>
      <c r="Y81" s="19"/>
      <c r="Z81" s="19"/>
      <c r="AA81" s="19"/>
      <c r="AB81" s="19"/>
      <c r="AC81" s="19"/>
      <c r="AD81" s="19"/>
    </row>
    <row r="82" spans="1:35" x14ac:dyDescent="0.35">
      <c r="A82" s="1"/>
      <c r="B82" s="85"/>
      <c r="C82" s="86"/>
      <c r="D82" s="86"/>
      <c r="E82" s="95" t="s">
        <v>91</v>
      </c>
      <c r="F82" s="19">
        <f>F96*12</f>
        <v>8991.75</v>
      </c>
      <c r="G82" s="19">
        <f>IF(
F85=0+N("If the preceding year's loan balance is zero then"),
0+N("the current IBR payment is zero")+N("If the condition is not met then"),
IF(
AND(
G85=0+N("If this year's loan balance will be zero AND"),
I85=0+N("two year's from now it will be zero, then")),
F85+N("this is the last year of payment, and therefore the total payment made this year will simply be the remaining loan balance from last year")+N("If not then"),
G96*12+N("The monthly IBR payment multiplied by twelve")))</f>
        <v>12720.278924999999</v>
      </c>
      <c r="H82" s="19">
        <f>IF(
G85=0+N("If the preceding year's loan balance is zero then"),
0+N("the current IBR payment is zero")+N("If the condition is not met then"),
IF(
AND(
H85=0+N("If this year's loan balance will be zero AND"),
J85=0+N("two year's from now it will be zero, then")),
G85+N("this is the last year of payment, and therefore the total payment made this year will simply be the remaining loan balance from last year")+N("If not then"),
H96*12+N("The monthly IBR payment multiplied by twelve")))</f>
        <v>23650.1394260175</v>
      </c>
      <c r="I82" s="19">
        <f>IF(
H85=0+N("If the preceding year's loan balance is zero then"),
0+N("the current IBR payment is zero")+N("If the condition is not met then"),
IF(
AND(
I85=0+N("If this year's loan balance will be zero AND"),
K85=0+N("two year's from now it will be zero, then")),
H85+N("this is the last year of payment, and therefore the total payment made this year will simply be the remaining loan balance from last year")+N("If not then"),
I96*12+N("The monthly IBR payment multiplied by twelve")))</f>
        <v>42147.289625610538</v>
      </c>
      <c r="J82" s="19">
        <f t="shared" ref="J82:Y82" si="8">IF(
I85=0+N("If the preceding year's loan balance is zero then"),
0+N("the current IBR payment is zero")+N("If the condition is not met then"),
IF(
AND(
J85=0+N("If this year's loan balance will be zero AND"),
L85=0+N("two year's from now it will be zero, then")),
I85+N("this is the last year of payment, and therefore the total payment made this year will simply be the remaining loan balance from last year")+N("If not then"),
J96*12+N("The monthly IBR payment multiplied by twelve")))</f>
        <v>43425.686595213359</v>
      </c>
      <c r="K82" s="19">
        <f t="shared" si="8"/>
        <v>44742.786328753224</v>
      </c>
      <c r="L82" s="19">
        <f t="shared" si="8"/>
        <v>46099.758715604934</v>
      </c>
      <c r="M82" s="19">
        <f t="shared" si="8"/>
        <v>47497.808962866613</v>
      </c>
      <c r="N82" s="19">
        <f t="shared" si="8"/>
        <v>48938.178660439567</v>
      </c>
      <c r="O82" s="19">
        <f t="shared" si="8"/>
        <v>50422.146878199754</v>
      </c>
      <c r="P82" s="19">
        <f t="shared" si="8"/>
        <v>51951.031296227215</v>
      </c>
      <c r="Q82" s="19">
        <f t="shared" si="8"/>
        <v>53526.189369088694</v>
      </c>
      <c r="R82" s="19">
        <f t="shared" si="8"/>
        <v>55149.01952519879</v>
      </c>
      <c r="S82" s="19">
        <f t="shared" si="8"/>
        <v>56820.96240231565</v>
      </c>
      <c r="T82" s="19">
        <f t="shared" si="8"/>
        <v>58543.502120259145</v>
      </c>
      <c r="U82" s="19">
        <f t="shared" si="8"/>
        <v>60318.167591972393</v>
      </c>
      <c r="V82" s="19">
        <f t="shared" si="8"/>
        <v>62146.533874080487</v>
      </c>
      <c r="W82" s="19">
        <f t="shared" si="8"/>
        <v>64030.223558135978</v>
      </c>
      <c r="X82" s="19">
        <f t="shared" si="8"/>
        <v>65970.908203775747</v>
      </c>
      <c r="Y82" s="19">
        <f t="shared" si="8"/>
        <v>67970.30981505099</v>
      </c>
      <c r="Z82" s="19">
        <f>IF(
$C$11=0.1+N("If the interest rate is ten percent, THEN"),
0+N("The annual IBR payment is zero because the loan have been forgiven")+N("If that condition is not met THEN"),
IF(
Y85=0+N("If the preceding year's loan balance is zero then"),
0+N("the current IBR payment is zero")+N("If the condition is not met then"),
IF(
AND(
Z85=0+N("If this year's loan balance will be zero AND"),
AB85=0+N("two year's from now it will be zero, then")),
Y85+N("this is the last year of payment, and therefore the total payment made this year will simply be the remaining loan balance from last year")+N("If not then"),
Z96*12+N("The monthly IBR payment multiplied by twelve"))))</f>
        <v>70030.202361230055</v>
      </c>
      <c r="AA82" s="19">
        <f>IF(
$C$11=0.1+N("If the interest rate is ten percent, THEN"),
0+N("The annual IBR payment is zero because the loan have been forgiven")+N("If that condition is not met THEN"),
IF(
Z85=0+N("If the preceding year's loan balance is zero then"),
0+N("the current IBR payment is zero")+N("If the condition is not met then"),
IF(
AND(
AA85=0+N("If this year's loan balance will be zero AND"),
AC85=0+N("two year's from now it will be zero, then")),
Z85+N("this is the last year of payment, and therefore the total payment made this year will simply be the remaining loan balance from last year")+N("If not then"),
AA96*12+N("The monthly IBR payment multiplied by twelve"))))</f>
        <v>72152.41334341286</v>
      </c>
      <c r="AB82" s="19">
        <f>IF(
$C$11=0.1+N("If the interest rate is ten percent, THEN"),
0+N("The annual IBR payment is zero because the loan have been forgiven")+N("If that condition is not met THEN"),
IF(
AA85=0+N("If the preceding year's loan balance is zero then"),
0+N("the current IBR payment is zero")+N("If the condition is not met then"),
IF(
AND(
AB85=0+N("If this year's loan balance will be zero AND"),
AD85=0+N("two year's from now it will be zero, then")),
AA85+N("this is the last year of payment, and therefore the total payment made this year will simply be the remaining loan balance from last year")+N("If not then"),
AB96*12+N("The monthly IBR payment multiplied by twelve"))))</f>
        <v>74338.825408335935</v>
      </c>
      <c r="AC82" s="19">
        <f>IF(
$C$11=0.1+N("If the interest rate is ten percent, THEN"),
0+N("The annual IBR payment is zero because the loan have been forgiven")+N("If that condition is not met THEN"),
IF(
AB85=0+N("If the preceding year's loan balance is zero then"),
0+N("the current IBR payment is zero")+N("If the condition is not met then"),
IF(
AND(
AC85=0+N("If this year's loan balance will be zero AND"),
AE85=0+N("two year's from now it will be zero, then")),
AB85+N("this is the last year of payment, and therefore the total payment made this year will simply be the remaining loan balance from last year")+N("If not then"),
AC96*12+N("The monthly IBR payment multiplied by twelve"))))</f>
        <v>75228.125237483313</v>
      </c>
      <c r="AD82" s="19">
        <f>IF($C$11=0.1,0,IF(AC85=0,0,IF(AND(AD85=0,AF85=0),AC85,AD96*12)))</f>
        <v>75228.125237483313</v>
      </c>
      <c r="AE82" s="19"/>
      <c r="AF82" s="19"/>
      <c r="AG82" s="19"/>
      <c r="AH82" s="19"/>
      <c r="AI82" s="19"/>
    </row>
    <row r="83" spans="1:35" x14ac:dyDescent="0.35">
      <c r="A83" s="1"/>
      <c r="B83" s="91"/>
      <c r="E83" s="96" t="s">
        <v>52</v>
      </c>
      <c r="F83" s="19">
        <f>D85*C7</f>
        <v>40064.999400000001</v>
      </c>
      <c r="G83" s="19">
        <f t="shared" ref="G83:AD83" si="9">IF(
F96=$F$109+N("If the IBR monthly payment equals the standard monhtly payment, then"),
F85*$C$7+N("The annual interest rate is the previous year's loan principal multiplied by the interest rate")+N("If the condition was not met then..."),
IF(
F84&gt;0+N("IF the student negatively amortized the previous year, then"),
$D$85*$C$7+N("Annual interest is the original loan balance multiplied by the interest rate")+N("If they made a principal payment in the previous year then..."),
F85*$C$7+N("Since the previous year's loan balance must be lower tahn the original loan balance, the annual interest is the previous year's loan balance multiplied by the interest rate")))</f>
        <v>40064.999400000001</v>
      </c>
      <c r="H83" s="19">
        <f t="shared" si="9"/>
        <v>40064.999400000001</v>
      </c>
      <c r="I83" s="19">
        <f t="shared" si="9"/>
        <v>40064.999400000001</v>
      </c>
      <c r="J83" s="19">
        <f t="shared" si="9"/>
        <v>40064.999400000001</v>
      </c>
      <c r="K83" s="19">
        <f t="shared" si="9"/>
        <v>40064.999400000001</v>
      </c>
      <c r="L83" s="19">
        <f t="shared" si="9"/>
        <v>40064.999400000001</v>
      </c>
      <c r="M83" s="19">
        <f t="shared" si="9"/>
        <v>40064.999400000001</v>
      </c>
      <c r="N83" s="19">
        <f t="shared" si="9"/>
        <v>40064.999400000001</v>
      </c>
      <c r="O83" s="19">
        <f t="shared" si="9"/>
        <v>40064.999400000001</v>
      </c>
      <c r="P83" s="19">
        <f t="shared" si="9"/>
        <v>40064.999400000001</v>
      </c>
      <c r="Q83" s="19">
        <f t="shared" si="9"/>
        <v>40064.999400000001</v>
      </c>
      <c r="R83" s="19">
        <f t="shared" si="9"/>
        <v>39928.698835747564</v>
      </c>
      <c r="S83" s="19">
        <f t="shared" si="9"/>
        <v>38767.476187052045</v>
      </c>
      <c r="T83" s="19">
        <f t="shared" si="9"/>
        <v>37390.099355852537</v>
      </c>
      <c r="U83" s="19">
        <f t="shared" si="9"/>
        <v>35776.216778198839</v>
      </c>
      <c r="V83" s="19">
        <f t="shared" si="9"/>
        <v>33903.807536002183</v>
      </c>
      <c r="W83" s="19">
        <f t="shared" si="9"/>
        <v>31749.050474449847</v>
      </c>
      <c r="X83" s="19">
        <f t="shared" si="9"/>
        <v>29286.183227689602</v>
      </c>
      <c r="Y83" s="19">
        <f t="shared" si="9"/>
        <v>26487.350379645737</v>
      </c>
      <c r="Z83" s="19">
        <f t="shared" si="9"/>
        <v>23322.439927745982</v>
      </c>
      <c r="AA83" s="19">
        <f t="shared" si="9"/>
        <v>19758.907153745848</v>
      </c>
      <c r="AB83" s="19">
        <f t="shared" si="9"/>
        <v>15761.584937389563</v>
      </c>
      <c r="AC83" s="19">
        <f t="shared" si="9"/>
        <v>11292.479474973738</v>
      </c>
      <c r="AD83" s="19">
        <f t="shared" si="9"/>
        <v>6414.5586063381443</v>
      </c>
      <c r="AE83" s="19"/>
      <c r="AF83" s="19"/>
      <c r="AG83" s="19"/>
      <c r="AH83" s="19"/>
      <c r="AI83" s="19"/>
    </row>
    <row r="84" spans="1:35" x14ac:dyDescent="0.35">
      <c r="A84" s="1"/>
      <c r="B84" s="91"/>
      <c r="E84" s="96" t="s">
        <v>7</v>
      </c>
      <c r="F84" s="14">
        <f>($C$22*$C$7)-((F96*12)*C28)+N("CNAPP equals the annual interest on unsubs minus the the percentage of the annual IBR payment that would be put towards unsubs")</f>
        <v>27563.072454308014</v>
      </c>
      <c r="G84" s="14">
        <f>IF(
F84=-$C$6+N("IF the principal payment from the previous year equals the original loan balance then"),
0+N("The CAN/PP euals zero, because you have paid of the loan")+N("if CAN/PP does not equal the original loan balance, then..."),
IF(
$C$7=0+N("If the interest rate is zero, then"),
(-(G96*12))+F84+N("CNAPP equals the last year's CNAPP minus whatever the annual IBR payment was")+N("If the interest rate is not zero, then..."),
IF(
G83=0+N("If the annual interest paid equals zero, then..."),
0+N("CNAPP equals zero")+N("If the annual interest rate does not equal zero, then..."),
(($C$22*$C$7)-((G96*12)*$C$28))+F84+N("CNAPP equals the previous CNAPP plus the annual interest on unsubs minus the the percentage of the annual IBR payment that would be put towards unsubs"))))</f>
        <v>51818.807733001624</v>
      </c>
      <c r="H84" s="14">
        <f>IF(
G84=-$C$6+N("IF the principal payment from the previous year equals the original loan balance then"),
0+N("The CAN/PP euals zero, because you have paid of the loan")+N("if CAN/PP does not equal the original loan balance, then..."),
IF(
$C$7=0+N("If the interest rate is zero, then"),
(-(H96*12))+G84+N("CNAPP equals the last year's CNAPP minus whatever the annual IBR payment was")+N("If the interest rate is not zero, then..."),
IF(
H83=0+N("If the annual interest paid equals zero, then..."),
0+N("CNAPP equals zero")+N("If the annual interest rate does not equal zero, then..."),
(($C$22*$C$7)-((H96*12)*$C$28))+G84+N("CNAPP equals the previous CNAPP plus the annual interest on unsubs minus the the percentage of the annual IBR payment that would be put towards unsubs"))))</f>
        <v>66379.369744588359</v>
      </c>
      <c r="I84" s="14">
        <f t="shared" ref="I84:AD84" si="10">IF(
H84=-$C6+N("IF the principal payment from the previous year equals the original loan balance then"),
0+N("The CAN/PP euals zero, because you have paid of the loan")+N("if CAN/PP does not equal the original loan balance, then..."),
IF(
$C7=0+N("If the interest rate is zero, then"),
(-(I96*12))+H84+N("CNAPP equals the last year's CNAPP minus whatever the annual IBR payment was")+N("If the interest rate is not zero, then..."),
IF(
I83=0+N("If the annual interest paid equals zero, then..."),
0+N("CNAPP equals zero")+N("If the annual interest rate does not equal zero, then..."),
I83-(I96*12)+H84+N("CNAPP equals the previous CNAPP plus the annual interest minus the annual IBR payment"))))</f>
        <v>64297.079518977822</v>
      </c>
      <c r="J84" s="14">
        <f t="shared" si="10"/>
        <v>60936.392323764463</v>
      </c>
      <c r="K84" s="14">
        <f t="shared" si="10"/>
        <v>56258.60539501124</v>
      </c>
      <c r="L84" s="14">
        <f t="shared" si="10"/>
        <v>50223.846079406307</v>
      </c>
      <c r="M84" s="14">
        <f t="shared" si="10"/>
        <v>42791.036516539694</v>
      </c>
      <c r="N84" s="14">
        <f t="shared" si="10"/>
        <v>33917.857256100127</v>
      </c>
      <c r="O84" s="14">
        <f t="shared" si="10"/>
        <v>23560.709777900374</v>
      </c>
      <c r="P84" s="14">
        <f t="shared" si="10"/>
        <v>11674.67788167316</v>
      </c>
      <c r="Q84" s="14">
        <f t="shared" si="10"/>
        <v>-1786.5120874155327</v>
      </c>
      <c r="R84" s="14">
        <f t="shared" si="10"/>
        <v>-17006.832776866759</v>
      </c>
      <c r="S84" s="14">
        <f t="shared" si="10"/>
        <v>-35060.318992130364</v>
      </c>
      <c r="T84" s="14">
        <f t="shared" si="10"/>
        <v>-56213.721756536972</v>
      </c>
      <c r="U84" s="14">
        <f t="shared" si="10"/>
        <v>-80755.672570310533</v>
      </c>
      <c r="V84" s="195">
        <f t="shared" si="10"/>
        <v>-108998.39890838883</v>
      </c>
      <c r="W84" s="195">
        <f t="shared" si="10"/>
        <v>-141279.57199207495</v>
      </c>
      <c r="X84" s="14">
        <f t="shared" si="10"/>
        <v>-177964.2969681611</v>
      </c>
      <c r="Y84" s="195">
        <f t="shared" si="10"/>
        <v>-219447.25640356634</v>
      </c>
      <c r="Z84" s="14">
        <f t="shared" si="10"/>
        <v>-266155.01883705042</v>
      </c>
      <c r="AA84" s="195">
        <f t="shared" si="10"/>
        <v>-318548.52502671746</v>
      </c>
      <c r="AB84" s="195">
        <f t="shared" si="10"/>
        <v>-377125.76549766382</v>
      </c>
      <c r="AC84" s="14">
        <f t="shared" si="10"/>
        <v>-441061.41126017342</v>
      </c>
      <c r="AD84" s="14">
        <f t="shared" si="10"/>
        <v>-509874.97789131862</v>
      </c>
      <c r="AE84" s="14"/>
      <c r="AF84" s="14"/>
      <c r="AG84" s="14"/>
      <c r="AH84" s="14"/>
      <c r="AI84" s="14"/>
    </row>
    <row r="85" spans="1:35" ht="16" thickBot="1" x14ac:dyDescent="0.4">
      <c r="A85" s="1"/>
      <c r="B85" s="88" t="s">
        <v>8</v>
      </c>
      <c r="C85" s="89"/>
      <c r="D85" s="97">
        <f>C6</f>
        <v>525138</v>
      </c>
      <c r="E85" s="98" t="s">
        <v>53</v>
      </c>
      <c r="F85" s="14">
        <f>$C$6+F84</f>
        <v>552701.07245430804</v>
      </c>
      <c r="G85" s="14">
        <f t="shared" ref="G85:X85" si="11">IF(
OR(
F85&lt;=0+N("If either the loan balance from the preceding year is less than or equal to zero OR"),
AND(
$C7=0+N("if the interest rate is zero AND"),
(F85-(F96*12))&lt;0+N("The loan balance is less than the annual IBR payment then"))),
0+N("the loan balance equals zero, if these conditions were not satisfied then"),
IF(
($C6+G84)&lt;0+N("If the principal payment is greaterthan the original loan balance then"),
0+N("the loan balance is zero")+N("If not, then"),
IF(
(G121*$C$11)/12&gt;=$C$109+N("If the IBR payment is greater than or equal to the standard payment then"),
(F85*(1+$C$7))-(G96*12)+N("the previous loan balance plus interest minus the annual IBR payment is the new loan balance")+N("If the condition is false then"),
($C6+G84)+N("the new loan balance is the original minus the principal or plus the negative amortization (the plus sign is in the formula because negative amortization is postitive and principal payment is negative in the spreadsheet"))))</f>
        <v>576956.80773300165</v>
      </c>
      <c r="H85" s="14">
        <f t="shared" si="11"/>
        <v>591517.36974458839</v>
      </c>
      <c r="I85" s="14">
        <f t="shared" si="11"/>
        <v>589435.07951897779</v>
      </c>
      <c r="J85" s="14">
        <f t="shared" si="11"/>
        <v>586074.39232376451</v>
      </c>
      <c r="K85" s="14">
        <f t="shared" si="11"/>
        <v>581396.60539501125</v>
      </c>
      <c r="L85" s="14">
        <f t="shared" si="11"/>
        <v>575361.84607940633</v>
      </c>
      <c r="M85" s="14">
        <f t="shared" si="11"/>
        <v>567929.03651653975</v>
      </c>
      <c r="N85" s="14">
        <f t="shared" si="11"/>
        <v>559055.85725610016</v>
      </c>
      <c r="O85" s="14">
        <f t="shared" si="11"/>
        <v>548698.70977790037</v>
      </c>
      <c r="P85" s="14">
        <f t="shared" si="11"/>
        <v>536812.67788167321</v>
      </c>
      <c r="Q85" s="14">
        <f t="shared" si="11"/>
        <v>523351.48791258445</v>
      </c>
      <c r="R85" s="14">
        <f t="shared" si="11"/>
        <v>508131.16722313326</v>
      </c>
      <c r="S85" s="14">
        <f t="shared" si="11"/>
        <v>490077.68100786966</v>
      </c>
      <c r="T85" s="14">
        <f t="shared" si="11"/>
        <v>468924.27824346302</v>
      </c>
      <c r="U85" s="14">
        <f t="shared" si="11"/>
        <v>444382.32742968947</v>
      </c>
      <c r="V85" s="14">
        <f t="shared" si="11"/>
        <v>416139.6010916112</v>
      </c>
      <c r="W85" s="14">
        <f t="shared" si="11"/>
        <v>383858.42800792505</v>
      </c>
      <c r="X85" s="14">
        <f t="shared" si="11"/>
        <v>347173.70303183887</v>
      </c>
      <c r="Y85" s="14">
        <f t="shared" ref="Y85:AD85" si="12">IF(
OR(
X85&lt;=0+N("If either the loan balance from the preceding year is less than or equal to zero OR"),
AND(
Y73&gt;20+N("IT is later than teh 20th year AND"),
$C$11=0.1+N("Percentage as share is 10 percent OR")),
AND(
$C7=0+N("if the interest rate is zero AND"),
(X85-(X96*12))&lt;0+N("The loan balance is less than the annual IBR payment then"))),
0+N("the loan balance equals zero, if these conditions were not satisfied then"),
IF(
($C6+Y84)&lt;0+N("If the principal payment is greaterthan the original loan balance then"),
0+N("the loan balance is zero")+N("If not, then"),
IF(
(Y121*$C$11)/12&gt;=$C$109+N("If the IBR payment is greater than or equal to the standard payment then"),
(X85*(1+$C$7))-(Y96*12)+N("the previous loan balance plus interest minus the annual IBR payment is the new loan balance")+N("If the condition is false then"),
($C6+Y84)+N("the new loan balance is the original minus the principal or plus the negative amortization (the plus sign is in the formula because negative amortization is postitive and principal payment is negative in the spreadsheet"))))</f>
        <v>305690.74359643366</v>
      </c>
      <c r="Z85" s="14">
        <f t="shared" si="12"/>
        <v>258982.98116294958</v>
      </c>
      <c r="AA85" s="14">
        <f t="shared" si="12"/>
        <v>206589.47497328254</v>
      </c>
      <c r="AB85" s="14">
        <f t="shared" si="12"/>
        <v>148012.23450233618</v>
      </c>
      <c r="AC85" s="14">
        <f t="shared" si="12"/>
        <v>84076.58873982662</v>
      </c>
      <c r="AD85" s="14">
        <f t="shared" si="12"/>
        <v>15263.022108681456</v>
      </c>
      <c r="AE85" s="14"/>
      <c r="AF85" s="14"/>
      <c r="AG85" s="14"/>
      <c r="AH85" s="14"/>
      <c r="AI85" s="14"/>
    </row>
    <row r="86" spans="1:35" ht="16" thickBot="1" x14ac:dyDescent="0.4">
      <c r="A86" s="1"/>
      <c r="B86" s="2"/>
      <c r="D86" s="70"/>
      <c r="E86" s="70"/>
      <c r="AE86" s="9"/>
    </row>
    <row r="87" spans="1:35" x14ac:dyDescent="0.35">
      <c r="A87" s="1"/>
      <c r="B87" s="2"/>
      <c r="C87" s="99">
        <f>SUM(F87:Y87)</f>
        <v>643375.11458254047</v>
      </c>
      <c r="D87" s="100"/>
      <c r="E87" s="95" t="s">
        <v>51</v>
      </c>
      <c r="F87" s="14">
        <f>F92*12</f>
        <v>5994.5</v>
      </c>
      <c r="G87" s="14">
        <f>IF(
F90=0+N("If the preceding year's loan balance is zero then"),
0+N("the current IBR payment is zero")+N("If the condition is not met then"),
IF(
AND(
G90=0+N("If this year's loan balance will be zero AND"),
I90=0+N("two year's from now it will be zero, then")),
F90+N("this is the last year of payment, and therefore the total payment made this year will simply be the remaining loan balance from last year")+N("If not then"),
G92*12+N("The monthly IBR payment multiplied by twelve")))</f>
        <v>8480.1859499999991</v>
      </c>
      <c r="H87" s="14">
        <f>IF(
G90=0+N("If the preceding year's loan balance is zero then"),
0+N("the current IBR payment is zero")+N("If the condition is not met then"),
IF(
AND(
H90=0+N("If this year's loan balance will be zero AND"),
J90=0+N("two year's from now it will be zero, then")),
G90+N("this is the last year of payment, and therefore the total payment made this year will simply be the remaining loan balance from last year")+N("If not then"),
H92*12+N("The monthly IBR payment multiplied by twelve")))</f>
        <v>15766.759617345</v>
      </c>
      <c r="I87" s="14">
        <f>IF(
H90=0+N("If the preceding year's loan balance is zero then"),
0+N("the current IBR payment is zero")+N("If the condition is not met then"),
IF(
AND(
I90=0+N("If this year's loan balance will be zero AND"),
K90=0+N("two year's from now it will be zero, then")),
H90+N("this is the last year of payment, and therefore the total payment made this year will simply be the remaining loan balance from last year")+N("If not then"),
I92*12+N("The monthly IBR payment multiplied by twelve")))</f>
        <v>28098.19308374036</v>
      </c>
      <c r="J87" s="14">
        <f t="shared" ref="J87:AD87" si="13">IF(
I90=0+N("If the preceding year's loan balance is zero then"),
0+N("the current IBR payment is zero")+N("If the condition is not met then"),
IF(
AND(
J90=0+N("If this year's loan balance will be zero AND"),
L90=0+N("two year's from now it will be zero, then")),
I90+N("this is the last year of payment, and therefore the total payment made this year will simply be the remaining loan balance from last year")+N("If not then"),
J92*12+N("The monthly IBR payment multiplied by twelve")))</f>
        <v>28950.457730142243</v>
      </c>
      <c r="K87" s="14">
        <f t="shared" si="13"/>
        <v>29828.524219168816</v>
      </c>
      <c r="L87" s="14">
        <f t="shared" si="13"/>
        <v>30733.172477069958</v>
      </c>
      <c r="M87" s="14">
        <f t="shared" si="13"/>
        <v>31665.205975244411</v>
      </c>
      <c r="N87" s="14">
        <f t="shared" si="13"/>
        <v>32625.452440293047</v>
      </c>
      <c r="O87" s="14">
        <f t="shared" si="13"/>
        <v>33614.764585466502</v>
      </c>
      <c r="P87" s="14">
        <f t="shared" si="13"/>
        <v>34634.020864151476</v>
      </c>
      <c r="Q87" s="14">
        <f t="shared" si="13"/>
        <v>35684.126246059132</v>
      </c>
      <c r="R87" s="14">
        <f t="shared" si="13"/>
        <v>36766.013016799196</v>
      </c>
      <c r="S87" s="14">
        <f t="shared" si="13"/>
        <v>37880.641601543764</v>
      </c>
      <c r="T87" s="14">
        <f t="shared" si="13"/>
        <v>39029.001413506099</v>
      </c>
      <c r="U87" s="14">
        <f t="shared" si="13"/>
        <v>40212.111727981595</v>
      </c>
      <c r="V87" s="14">
        <f t="shared" si="13"/>
        <v>41431.022582720325</v>
      </c>
      <c r="W87" s="14">
        <f t="shared" si="13"/>
        <v>42686.815705423993</v>
      </c>
      <c r="X87" s="14">
        <f t="shared" si="13"/>
        <v>43980.605469183836</v>
      </c>
      <c r="Y87" s="14">
        <f t="shared" si="13"/>
        <v>45313.53987670067</v>
      </c>
      <c r="Z87" s="14"/>
      <c r="AA87" s="14">
        <f t="shared" si="13"/>
        <v>0</v>
      </c>
      <c r="AB87" s="14">
        <f t="shared" si="13"/>
        <v>0</v>
      </c>
      <c r="AC87" s="14">
        <f t="shared" si="13"/>
        <v>0</v>
      </c>
      <c r="AD87" s="14">
        <f t="shared" si="13"/>
        <v>0</v>
      </c>
      <c r="AE87" s="9"/>
    </row>
    <row r="88" spans="1:35" x14ac:dyDescent="0.35">
      <c r="A88" s="1"/>
      <c r="B88" s="2"/>
      <c r="C88" s="91"/>
      <c r="D88" s="70"/>
      <c r="E88" s="96" t="s">
        <v>52</v>
      </c>
      <c r="F88" s="14">
        <f>D85*C7</f>
        <v>40064.999400000001</v>
      </c>
      <c r="G88" s="14">
        <f t="shared" ref="G88:Y88" si="14">IF(
F92=$F$109+N("If the IBR monthly payment equals the standard monhtly payment, then"),
F90*$C$7+N("The annual interest rate is the previous year's loan principal multiplied by the interest rate")+N("If the condition was not met then..."),
IF(
F89&gt;0+N("IF the student negatively amortized the previous year, then"),
$D$85*$C$7+N("Annual interest is the original loan balance multiplied by the interest rate")+N("If they made a principal payment in the previous year then..."),
F90*$C$7+N("Since the previous year's loan balance must be lower tahn the original loan balance, the annual interest is the previous year's loan balance multiplied by the interest rate")))</f>
        <v>40064.999400000001</v>
      </c>
      <c r="H88" s="14">
        <f t="shared" si="14"/>
        <v>40064.999400000001</v>
      </c>
      <c r="I88" s="14">
        <f t="shared" si="14"/>
        <v>40064.999400000001</v>
      </c>
      <c r="J88" s="14">
        <f t="shared" si="14"/>
        <v>40064.999400000001</v>
      </c>
      <c r="K88" s="14">
        <f t="shared" si="14"/>
        <v>40064.999400000001</v>
      </c>
      <c r="L88" s="14">
        <f t="shared" si="14"/>
        <v>40064.999400000001</v>
      </c>
      <c r="M88" s="14">
        <f t="shared" si="14"/>
        <v>40064.999400000001</v>
      </c>
      <c r="N88" s="14">
        <f t="shared" si="14"/>
        <v>40064.999400000001</v>
      </c>
      <c r="O88" s="14">
        <f t="shared" si="14"/>
        <v>40064.999400000001</v>
      </c>
      <c r="P88" s="14">
        <f t="shared" si="14"/>
        <v>40064.999400000001</v>
      </c>
      <c r="Q88" s="14">
        <f t="shared" si="14"/>
        <v>40064.999400000001</v>
      </c>
      <c r="R88" s="14">
        <f t="shared" si="14"/>
        <v>40064.999400000001</v>
      </c>
      <c r="S88" s="14">
        <f t="shared" si="14"/>
        <v>40064.999400000001</v>
      </c>
      <c r="T88" s="14">
        <f t="shared" si="14"/>
        <v>40064.999400000001</v>
      </c>
      <c r="U88" s="14">
        <f t="shared" si="14"/>
        <v>40064.999400000001</v>
      </c>
      <c r="V88" s="14">
        <f t="shared" si="14"/>
        <v>40064.999400000001</v>
      </c>
      <c r="W88" s="14">
        <f t="shared" si="14"/>
        <v>40064.999400000001</v>
      </c>
      <c r="X88" s="14">
        <f t="shared" si="14"/>
        <v>40064.999400000001</v>
      </c>
      <c r="Y88" s="14">
        <f t="shared" si="14"/>
        <v>40064.999400000001</v>
      </c>
      <c r="Z88" s="14"/>
      <c r="AA88" s="14"/>
      <c r="AB88" s="14"/>
      <c r="AC88" s="14"/>
      <c r="AD88" s="14"/>
      <c r="AE88" s="9"/>
    </row>
    <row r="89" spans="1:35" x14ac:dyDescent="0.35">
      <c r="A89" s="1"/>
      <c r="B89" s="2"/>
      <c r="C89" s="91"/>
      <c r="D89" s="70"/>
      <c r="E89" s="96" t="s">
        <v>80</v>
      </c>
      <c r="F89" s="14">
        <f>($C$22*$C$7)-((F92*12)*C28)+N("CNAPP equals the annual interest on unsubs minus the the percentage of the annual IBR payment that would be put towards unsubs")</f>
        <v>30221.73933044343</v>
      </c>
      <c r="G89" s="14">
        <f>IF(
F89=-$C$6+N("IF the principal payment from the previous year equals the original loan balance then"),
0+N("The CAN/PP euals zero, because you have paid of the loan")+N("if CAN/PP does not equal the original loan balance, then..."),
IF(
$C$7=0+N("If the interest rate is zero, then"),
(-(G92*12))+F89+N("CNAPP equals the last year's CNAPP minus whatever the annual IBR payment was")+N("If the interest rate is not zero, then..."),
IF(
G88=0+N("If the annual interest paid equals zero, then..."),
0+N("CNAPP equals zero")+N("If the annual interest rate does not equal zero, then..."),
(($C$22*$C$7)-((G127*12)*$C$28))+F125+N("CNAPP equals the previous CNAPP plus the annual interest on unsubs minus the the percentage of the annual IBR payment that would be put towards unsubs"))))</f>
        <v>43127.717545255538</v>
      </c>
      <c r="H89" s="14">
        <f>IF(
G89=-$C$6+N("IF the principal payment from the previous year equals the original loan balance then"),
0+N("The CAN/PP euals zero, because you have paid of the loan")+N("if CAN/PP does not equal the original loan balance, then..."),
IF(
$C$7=0+N("If the interest rate is zero, then"),
(-(H92*12))+G89+N("CNAPP equals the last year's CNAPP minus whatever the annual IBR payment was")+N("If the interest rate is not zero, then..."),
IF(
H88=0+N("If the annual interest paid equals zero, then..."),
0+N("CNAPP equals zero")+N("If the annual interest rate does not equal zero, then..."),
(($C$22*$C$7)-((H92*12)*$C$28))+G89+N("CNAPP equals the previous CNAPP plus the annual interest on unsubs minus the the percentage of the annual IBR payment that would be put towards unsubs"))))</f>
        <v>64681.116580551447</v>
      </c>
      <c r="I89" s="14">
        <f t="shared" ref="I89:Y89" si="15">IF(
H89=-$C6+N("IF the principal payment from the previous year equals the original loan balance then"),
0+N("The CAN/PP euals zero, because you have paid of the loan")+N("if CAN/PP does not equal the original loan balance, then..."),
IF(
$C7=0+N("If the interest rate is zero, then"),
(-(I92*12))+H89+N("CNAPP equals the last year's CNAPP minus whatever the annual IBR payment was")+N("If the interest rate is not zero, then..."),
IF(
I88=0+N("If the annual interest paid equals zero, then..."),
0+N("CNAPP equals zero")+N("If the annual interest rate does not equal zero, then..."),
I88-(I92*12)+H89+N("CNAPP equals the previous CNAPP plus the annual interest minus the annual IBR payment"))))</f>
        <v>76647.922896811084</v>
      </c>
      <c r="J89" s="14">
        <f t="shared" si="15"/>
        <v>87762.464566668845</v>
      </c>
      <c r="K89" s="14">
        <f>IF(
J89=-$C6+N("IF the principal payment from the previous year equals the original loan balance then"),
0+N("The CAN/PP euals zero, because you have paid of the loan")+N("if CAN/PP does not equal the original loan balance, then..."),
IF(
$C7=0+N("If the interest rate is zero, then"),
(-(K92*12))+J89+N("CNAPP equals the last year's CNAPP minus whatever the annual IBR payment was")+N("If the interest rate is not zero, then..."),
IF(
K88=0+N("If the annual interest paid equals zero, then..."),
0+N("CNAPP equals zero")+N("If the annual interest rate does not equal zero, then..."),
K88-(K92*12)+J89+N("CNAPP equals the previous CNAPP plus the annual interest minus the annual IBR payment"))))</f>
        <v>97998.93974750003</v>
      </c>
      <c r="L89" s="14">
        <f t="shared" si="15"/>
        <v>107330.76667043008</v>
      </c>
      <c r="M89" s="14">
        <f t="shared" si="15"/>
        <v>115730.56009518568</v>
      </c>
      <c r="N89" s="14">
        <f t="shared" si="15"/>
        <v>123170.10705489264</v>
      </c>
      <c r="O89" s="14">
        <f t="shared" si="15"/>
        <v>129620.34186942613</v>
      </c>
      <c r="P89" s="14">
        <f t="shared" si="15"/>
        <v>135051.32040527466</v>
      </c>
      <c r="Q89" s="14">
        <f t="shared" si="15"/>
        <v>139432.19355921552</v>
      </c>
      <c r="R89" s="14">
        <f t="shared" si="15"/>
        <v>142731.17994241632</v>
      </c>
      <c r="S89" s="14">
        <f t="shared" si="15"/>
        <v>144915.53774087256</v>
      </c>
      <c r="T89" s="14">
        <f t="shared" si="15"/>
        <v>145951.53572736646</v>
      </c>
      <c r="U89" s="14">
        <f t="shared" si="15"/>
        <v>145804.42339938486</v>
      </c>
      <c r="V89" s="14">
        <f t="shared" si="15"/>
        <v>144438.40021666454</v>
      </c>
      <c r="W89" s="14">
        <f t="shared" si="15"/>
        <v>141816.58391124054</v>
      </c>
      <c r="X89" s="14">
        <f t="shared" si="15"/>
        <v>137900.97784205672</v>
      </c>
      <c r="Y89" s="14">
        <f t="shared" si="15"/>
        <v>132652.43736535605</v>
      </c>
      <c r="Z89" s="14"/>
      <c r="AA89" s="14"/>
      <c r="AB89" s="14"/>
      <c r="AC89" s="14"/>
      <c r="AD89" s="14"/>
      <c r="AE89" s="9"/>
    </row>
    <row r="90" spans="1:35" ht="16" thickBot="1" x14ac:dyDescent="0.4">
      <c r="A90" s="1"/>
      <c r="B90" s="2"/>
      <c r="C90" s="88"/>
      <c r="D90" s="101"/>
      <c r="E90" s="102" t="s">
        <v>53</v>
      </c>
      <c r="F90" s="14">
        <f>$C$6+F89</f>
        <v>555359.73933044344</v>
      </c>
      <c r="G90" s="14">
        <f t="shared" ref="G90:Y90" si="16">IF(
OR(
F90&lt;=0+N("If either the loan balance from the preceding year is less than or equal to zero OR"),
AND(
$C7=0+N("if the interest rate is zero AND"),
(F90-(F92*12))&lt;0+N("The loan balance is less than the annual IBR payment then"))),
0+N("the loan balance equals zero, if these conditions were not satisfied then"),
IF(
($C6+G89)&lt;0+N("If the principal payment is greaterthan the original loan balance then"),
0+N("the loan balance is zero")+N("If not, then"),
IF(
(G121*$C$11)/12&gt;=$C$109+N("If the IBR payment is greater than or equal to the standard payment then"),
(F90*(1+$C$7))-(G92*12)+N("the previous loan balance plus interest minus the annual IBR payment is the new loan balance")+N("If the condition is false then"),
($C6+G89)+N("the new loan balance is the original minus the principal or plus the negative amortization (the plus sign is in the formula because negative amortization is postitive and principal payment is negative in the spreadsheet"))))</f>
        <v>568265.71754525555</v>
      </c>
      <c r="H90" s="14">
        <f t="shared" si="16"/>
        <v>589819.11658055149</v>
      </c>
      <c r="I90" s="14">
        <f t="shared" si="16"/>
        <v>601785.92289681104</v>
      </c>
      <c r="J90" s="14">
        <f t="shared" si="16"/>
        <v>612900.46456666884</v>
      </c>
      <c r="K90" s="14">
        <f t="shared" si="16"/>
        <v>623136.9397475</v>
      </c>
      <c r="L90" s="14">
        <f t="shared" si="16"/>
        <v>632468.76667043008</v>
      </c>
      <c r="M90" s="14">
        <f t="shared" si="16"/>
        <v>640868.56009518565</v>
      </c>
      <c r="N90" s="14">
        <f t="shared" si="16"/>
        <v>648308.10705489269</v>
      </c>
      <c r="O90" s="14">
        <f t="shared" si="16"/>
        <v>654758.34186942619</v>
      </c>
      <c r="P90" s="14">
        <f t="shared" si="16"/>
        <v>660189.32040527463</v>
      </c>
      <c r="Q90" s="14">
        <f t="shared" si="16"/>
        <v>664570.19355921552</v>
      </c>
      <c r="R90" s="14">
        <f t="shared" si="16"/>
        <v>667869.17994241626</v>
      </c>
      <c r="S90" s="14">
        <f t="shared" si="16"/>
        <v>670053.53774087259</v>
      </c>
      <c r="T90" s="14">
        <f t="shared" si="16"/>
        <v>671089.53572736646</v>
      </c>
      <c r="U90" s="14">
        <f t="shared" si="16"/>
        <v>670942.42339938483</v>
      </c>
      <c r="V90" s="14">
        <f t="shared" si="16"/>
        <v>669576.40021666454</v>
      </c>
      <c r="W90" s="14">
        <f t="shared" si="16"/>
        <v>666954.58391124057</v>
      </c>
      <c r="X90" s="14">
        <f t="shared" si="16"/>
        <v>663038.97784205666</v>
      </c>
      <c r="Y90" s="14">
        <f t="shared" si="16"/>
        <v>657790.43736535602</v>
      </c>
      <c r="Z90" s="14"/>
      <c r="AA90" s="14"/>
      <c r="AB90" s="14"/>
      <c r="AC90" s="14"/>
      <c r="AD90" s="14"/>
      <c r="AE90" s="9"/>
    </row>
    <row r="91" spans="1:35" ht="16" thickBot="1" x14ac:dyDescent="0.4">
      <c r="A91" s="1"/>
      <c r="B91" s="2"/>
      <c r="D91" s="70"/>
      <c r="E91" s="29"/>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9"/>
    </row>
    <row r="92" spans="1:35" x14ac:dyDescent="0.35">
      <c r="A92" s="1"/>
      <c r="B92" s="2" t="s">
        <v>87</v>
      </c>
      <c r="C92" s="85"/>
      <c r="D92" s="100"/>
      <c r="E92" s="103" t="s">
        <v>92</v>
      </c>
      <c r="F92" s="14">
        <f>IF((F121*0.1)/12&lt;=0,0,IF(((F121*0.1)/12)&lt;($D$81/12),((F121*0.1)/12),"Ineligible"))</f>
        <v>499.54166666666669</v>
      </c>
      <c r="G92" s="14">
        <f t="shared" ref="G92:Y92" si="17">IF($F$92="Ineligible","",
IF($C$6=0,"",
IF(
G73&gt;20+N("IT is later than teh 20th year"),
0,
IF(
F90=0,
0+N("If loan balance from the preceding year is zero then IBR payment is zero, if not then"),
IF(
(G121*0.1)/12&lt;0,
0+N(""),
IF(
((G121*0.1)/12)&lt;($D$81/12)+N("If the IBR payment is less than the standard"),
((G121*0.1)/12)+N("Then the IBR payment"),
$F$109+N("If IBR is greater or equal to teh standard, then the standard plan")))))))</f>
        <v>706.68216249999989</v>
      </c>
      <c r="H92" s="14">
        <f t="shared" si="17"/>
        <v>1313.89663477875</v>
      </c>
      <c r="I92" s="14">
        <f t="shared" si="17"/>
        <v>2341.5160903116966</v>
      </c>
      <c r="J92" s="14">
        <f t="shared" si="17"/>
        <v>2412.5381441785203</v>
      </c>
      <c r="K92" s="14">
        <f t="shared" si="17"/>
        <v>2485.7103515974013</v>
      </c>
      <c r="L92" s="14">
        <f t="shared" si="17"/>
        <v>2561.0977064224967</v>
      </c>
      <c r="M92" s="14">
        <f t="shared" si="17"/>
        <v>2638.7671646037011</v>
      </c>
      <c r="N92" s="14">
        <f t="shared" si="17"/>
        <v>2718.7877033577538</v>
      </c>
      <c r="O92" s="14">
        <f t="shared" si="17"/>
        <v>2801.2303821222085</v>
      </c>
      <c r="P92" s="14">
        <f t="shared" si="17"/>
        <v>2886.1684053459562</v>
      </c>
      <c r="Q92" s="14">
        <f t="shared" si="17"/>
        <v>2973.6771871715941</v>
      </c>
      <c r="R92" s="14">
        <f t="shared" si="17"/>
        <v>3063.8344180665995</v>
      </c>
      <c r="S92" s="14">
        <f t="shared" si="17"/>
        <v>3156.7201334619804</v>
      </c>
      <c r="T92" s="14">
        <f t="shared" si="17"/>
        <v>3252.4167844588414</v>
      </c>
      <c r="U92" s="14">
        <f t="shared" si="17"/>
        <v>3351.0093106651329</v>
      </c>
      <c r="V92" s="14">
        <f t="shared" si="17"/>
        <v>3452.5852152266939</v>
      </c>
      <c r="W92" s="14">
        <f t="shared" si="17"/>
        <v>3557.2346421186662</v>
      </c>
      <c r="X92" s="14">
        <f t="shared" si="17"/>
        <v>3665.0504557653198</v>
      </c>
      <c r="Y92" s="14">
        <f t="shared" si="17"/>
        <v>3776.128323058389</v>
      </c>
      <c r="Z92" s="14"/>
      <c r="AA92" s="14"/>
      <c r="AB92" s="14"/>
      <c r="AC92" s="14"/>
      <c r="AD92" s="14"/>
      <c r="AE92" s="9"/>
    </row>
    <row r="93" spans="1:35" ht="16" thickBot="1" x14ac:dyDescent="0.4">
      <c r="A93" s="1"/>
      <c r="B93" s="2"/>
      <c r="C93" s="88"/>
      <c r="D93" s="101"/>
      <c r="E93" s="102" t="s">
        <v>28</v>
      </c>
      <c r="F93" s="14">
        <f t="shared" ref="F93:Y93" si="18">IF($F$92="Ineligible","",IF($C$6=0,"",F90))</f>
        <v>555359.73933044344</v>
      </c>
      <c r="G93" s="14">
        <f t="shared" si="18"/>
        <v>568265.71754525555</v>
      </c>
      <c r="H93" s="14">
        <f t="shared" si="18"/>
        <v>589819.11658055149</v>
      </c>
      <c r="I93" s="14">
        <f t="shared" si="18"/>
        <v>601785.92289681104</v>
      </c>
      <c r="J93" s="14">
        <f t="shared" si="18"/>
        <v>612900.46456666884</v>
      </c>
      <c r="K93" s="14">
        <f t="shared" si="18"/>
        <v>623136.9397475</v>
      </c>
      <c r="L93" s="14">
        <f t="shared" si="18"/>
        <v>632468.76667043008</v>
      </c>
      <c r="M93" s="14">
        <f t="shared" si="18"/>
        <v>640868.56009518565</v>
      </c>
      <c r="N93" s="14">
        <f t="shared" si="18"/>
        <v>648308.10705489269</v>
      </c>
      <c r="O93" s="14">
        <f t="shared" si="18"/>
        <v>654758.34186942619</v>
      </c>
      <c r="P93" s="14">
        <f t="shared" si="18"/>
        <v>660189.32040527463</v>
      </c>
      <c r="Q93" s="14">
        <f t="shared" si="18"/>
        <v>664570.19355921552</v>
      </c>
      <c r="R93" s="14">
        <f t="shared" si="18"/>
        <v>667869.17994241626</v>
      </c>
      <c r="S93" s="14">
        <f t="shared" si="18"/>
        <v>670053.53774087259</v>
      </c>
      <c r="T93" s="14">
        <f t="shared" si="18"/>
        <v>671089.53572736646</v>
      </c>
      <c r="U93" s="14">
        <f t="shared" si="18"/>
        <v>670942.42339938483</v>
      </c>
      <c r="V93" s="14">
        <f t="shared" si="18"/>
        <v>669576.40021666454</v>
      </c>
      <c r="W93" s="14">
        <f t="shared" si="18"/>
        <v>666954.58391124057</v>
      </c>
      <c r="X93" s="14">
        <f t="shared" si="18"/>
        <v>663038.97784205666</v>
      </c>
      <c r="Y93" s="14">
        <f t="shared" si="18"/>
        <v>657790.43736535602</v>
      </c>
      <c r="Z93" s="14"/>
      <c r="AA93" s="14"/>
      <c r="AB93" s="14"/>
      <c r="AC93" s="14"/>
      <c r="AD93" s="14"/>
      <c r="AE93" s="9"/>
    </row>
    <row r="94" spans="1:35" s="8" customFormat="1" ht="16" thickBot="1" x14ac:dyDescent="0.4">
      <c r="B94" s="46"/>
      <c r="D94" s="74"/>
      <c r="E94" s="74"/>
      <c r="AE94" s="22"/>
    </row>
    <row r="95" spans="1:35" ht="16" hidden="1" thickBot="1" x14ac:dyDescent="0.4">
      <c r="A95" s="1"/>
      <c r="B95" s="2"/>
      <c r="D95" s="70"/>
      <c r="E95" s="70"/>
      <c r="AE95" s="9"/>
    </row>
    <row r="96" spans="1:35" x14ac:dyDescent="0.35">
      <c r="A96" s="1"/>
      <c r="B96" s="29"/>
      <c r="C96" s="280" t="s">
        <v>78</v>
      </c>
      <c r="D96" s="281"/>
      <c r="E96" s="282"/>
      <c r="F96" s="14">
        <f>IF((F121*$C$11)/12&lt;=0,0,IF(((F121*$C$11)/12)&lt;($D$81/12),((F121*$C$11)/12),"Ineligible"))</f>
        <v>749.3125</v>
      </c>
      <c r="G96" s="14">
        <f t="shared" ref="G96:AD96" si="19">IF($F$96="Ineligible","",
IF($C$6=0,"",
IF(
AND(
G73&gt;20+N("IT is later than teh 20th year AND"),
$C$11=0.1+N("Percentage as share is 10 percent THEN")),
0,
IF(
F85=0,
0+N("If loan balance from the preceding year is zero then IBR payment is zero, if not then"),
IF(
(G121*$C$11)/12&lt;0,
0+N(""),
IF(
((G121*$C$11)/12)&lt;($D$81/12)+N("If the IBR payment is less than the standard"),
((G121*$C$11)/12)+N("Then the IBR payment"),
$F$109+N("If IBR is greater or equal to teh standard, then the standard plan")))))))</f>
        <v>1060.0232437499999</v>
      </c>
      <c r="H96" s="14">
        <f t="shared" si="19"/>
        <v>1970.844952168125</v>
      </c>
      <c r="I96" s="14">
        <f t="shared" si="19"/>
        <v>3512.274135467545</v>
      </c>
      <c r="J96" s="14">
        <f t="shared" si="19"/>
        <v>3618.8072162677799</v>
      </c>
      <c r="K96" s="14">
        <f t="shared" si="19"/>
        <v>3728.565527396102</v>
      </c>
      <c r="L96" s="14">
        <f t="shared" si="19"/>
        <v>3841.6465596337443</v>
      </c>
      <c r="M96" s="14">
        <f t="shared" si="19"/>
        <v>3958.1507469055509</v>
      </c>
      <c r="N96" s="14">
        <f t="shared" si="19"/>
        <v>4078.1815550366305</v>
      </c>
      <c r="O96" s="14">
        <f t="shared" si="19"/>
        <v>4201.8455731833128</v>
      </c>
      <c r="P96" s="14">
        <f t="shared" si="19"/>
        <v>4329.2526080189346</v>
      </c>
      <c r="Q96" s="14">
        <f t="shared" si="19"/>
        <v>4460.5157807573914</v>
      </c>
      <c r="R96" s="14">
        <f t="shared" si="19"/>
        <v>4595.7516270998995</v>
      </c>
      <c r="S96" s="14">
        <f t="shared" si="19"/>
        <v>4735.0802001929706</v>
      </c>
      <c r="T96" s="14">
        <f t="shared" si="19"/>
        <v>4878.6251766882624</v>
      </c>
      <c r="U96" s="14">
        <f t="shared" si="19"/>
        <v>5026.5139659976994</v>
      </c>
      <c r="V96" s="14">
        <f t="shared" si="19"/>
        <v>5178.8778228400406</v>
      </c>
      <c r="W96" s="14">
        <f t="shared" si="19"/>
        <v>5335.8519631779982</v>
      </c>
      <c r="X96" s="14">
        <f t="shared" si="19"/>
        <v>5497.5756836479786</v>
      </c>
      <c r="Y96" s="14">
        <f t="shared" si="19"/>
        <v>5664.1924845875828</v>
      </c>
      <c r="Z96" s="14">
        <f t="shared" si="19"/>
        <v>5835.8501967691709</v>
      </c>
      <c r="AA96" s="14">
        <f t="shared" si="19"/>
        <v>6012.7011119510717</v>
      </c>
      <c r="AB96" s="14">
        <f t="shared" si="19"/>
        <v>6194.9021173613282</v>
      </c>
      <c r="AC96" s="14">
        <f t="shared" si="19"/>
        <v>6269.0104364569424</v>
      </c>
      <c r="AD96" s="14">
        <f t="shared" si="19"/>
        <v>6269.0104364569424</v>
      </c>
      <c r="AE96" s="14"/>
      <c r="AF96" s="14"/>
      <c r="AG96" s="14"/>
      <c r="AH96" s="14"/>
      <c r="AI96" s="14"/>
    </row>
    <row r="97" spans="1:35" ht="16" thickBot="1" x14ac:dyDescent="0.4">
      <c r="A97" s="1"/>
      <c r="B97" s="2"/>
      <c r="C97" s="283" t="s">
        <v>28</v>
      </c>
      <c r="D97" s="284"/>
      <c r="E97" s="285"/>
      <c r="F97" s="14">
        <f t="shared" ref="F97:AD97" si="20">IF($F$96="Ineligible","",IF($C$6=0,"",F85))</f>
        <v>552701.07245430804</v>
      </c>
      <c r="G97" s="14">
        <f t="shared" si="20"/>
        <v>576956.80773300165</v>
      </c>
      <c r="H97" s="14">
        <f t="shared" si="20"/>
        <v>591517.36974458839</v>
      </c>
      <c r="I97" s="14">
        <f t="shared" si="20"/>
        <v>589435.07951897779</v>
      </c>
      <c r="J97" s="14">
        <f t="shared" si="20"/>
        <v>586074.39232376451</v>
      </c>
      <c r="K97" s="14">
        <f t="shared" si="20"/>
        <v>581396.60539501125</v>
      </c>
      <c r="L97" s="14">
        <f t="shared" si="20"/>
        <v>575361.84607940633</v>
      </c>
      <c r="M97" s="14">
        <f t="shared" si="20"/>
        <v>567929.03651653975</v>
      </c>
      <c r="N97" s="14">
        <f t="shared" si="20"/>
        <v>559055.85725610016</v>
      </c>
      <c r="O97" s="14">
        <f t="shared" si="20"/>
        <v>548698.70977790037</v>
      </c>
      <c r="P97" s="14">
        <f t="shared" si="20"/>
        <v>536812.67788167321</v>
      </c>
      <c r="Q97" s="14">
        <f t="shared" si="20"/>
        <v>523351.48791258445</v>
      </c>
      <c r="R97" s="14">
        <f t="shared" si="20"/>
        <v>508131.16722313326</v>
      </c>
      <c r="S97" s="14">
        <f t="shared" si="20"/>
        <v>490077.68100786966</v>
      </c>
      <c r="T97" s="14">
        <f t="shared" si="20"/>
        <v>468924.27824346302</v>
      </c>
      <c r="U97" s="14">
        <f t="shared" si="20"/>
        <v>444382.32742968947</v>
      </c>
      <c r="V97" s="14">
        <f t="shared" si="20"/>
        <v>416139.6010916112</v>
      </c>
      <c r="W97" s="14">
        <f t="shared" si="20"/>
        <v>383858.42800792505</v>
      </c>
      <c r="X97" s="14">
        <f t="shared" si="20"/>
        <v>347173.70303183887</v>
      </c>
      <c r="Y97" s="14">
        <f t="shared" si="20"/>
        <v>305690.74359643366</v>
      </c>
      <c r="Z97" s="14">
        <f t="shared" si="20"/>
        <v>258982.98116294958</v>
      </c>
      <c r="AA97" s="14">
        <f t="shared" si="20"/>
        <v>206589.47497328254</v>
      </c>
      <c r="AB97" s="14">
        <f t="shared" si="20"/>
        <v>148012.23450233618</v>
      </c>
      <c r="AC97" s="14">
        <f t="shared" si="20"/>
        <v>84076.58873982662</v>
      </c>
      <c r="AD97" s="14">
        <f t="shared" si="20"/>
        <v>15263.022108681456</v>
      </c>
      <c r="AE97" s="14"/>
      <c r="AF97" s="14"/>
      <c r="AG97" s="14"/>
      <c r="AH97" s="14"/>
      <c r="AI97" s="14"/>
    </row>
    <row r="98" spans="1:35" hidden="1" x14ac:dyDescent="0.35">
      <c r="A98" s="1"/>
      <c r="B98" s="2"/>
      <c r="C98" s="71"/>
      <c r="D98" s="71"/>
      <c r="E98" s="71"/>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row>
    <row r="99" spans="1:35" hidden="1" x14ac:dyDescent="0.35">
      <c r="A99" s="1"/>
      <c r="B99" s="18"/>
      <c r="C99" s="289"/>
      <c r="D99" s="289"/>
      <c r="E99" s="289"/>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row>
    <row r="100" spans="1:35" hidden="1" x14ac:dyDescent="0.35">
      <c r="A100" s="1"/>
      <c r="B100" s="2"/>
      <c r="C100" s="290"/>
      <c r="D100" s="290"/>
      <c r="E100" s="290"/>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row>
    <row r="101" spans="1:35" ht="16" thickBot="1" x14ac:dyDescent="0.4">
      <c r="A101" s="1"/>
      <c r="B101" s="2"/>
      <c r="D101" s="8"/>
      <c r="E101" s="71"/>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row>
    <row r="102" spans="1:35" x14ac:dyDescent="0.35">
      <c r="A102" s="1"/>
      <c r="B102" s="29"/>
      <c r="C102" s="286" t="s">
        <v>29</v>
      </c>
      <c r="D102" s="287"/>
      <c r="E102" s="288"/>
      <c r="F102" s="14">
        <f t="shared" ref="F102:O102" si="21">IF($C$6=0,"",F109)</f>
        <v>6269.0104364569424</v>
      </c>
      <c r="G102" s="14">
        <f t="shared" si="21"/>
        <v>6269.0104364569424</v>
      </c>
      <c r="H102" s="14">
        <f t="shared" si="21"/>
        <v>6269.0104364569424</v>
      </c>
      <c r="I102" s="14">
        <f t="shared" si="21"/>
        <v>6269.0104364569424</v>
      </c>
      <c r="J102" s="14">
        <f t="shared" si="21"/>
        <v>6269.0104364569424</v>
      </c>
      <c r="K102" s="14">
        <f t="shared" si="21"/>
        <v>6269.0104364569424</v>
      </c>
      <c r="L102" s="14">
        <f t="shared" si="21"/>
        <v>6269.0104364569424</v>
      </c>
      <c r="M102" s="14">
        <f t="shared" si="21"/>
        <v>6269.0104364569424</v>
      </c>
      <c r="N102" s="14">
        <f t="shared" si="21"/>
        <v>6269.0104364569424</v>
      </c>
      <c r="O102" s="14">
        <f t="shared" si="21"/>
        <v>6269.0104364569424</v>
      </c>
      <c r="P102" s="14"/>
      <c r="Q102" s="14"/>
      <c r="R102" s="14"/>
      <c r="S102" s="14"/>
      <c r="T102" s="14"/>
      <c r="U102" s="14"/>
      <c r="V102" s="14"/>
      <c r="W102" s="14"/>
      <c r="X102" s="14"/>
      <c r="Y102" s="14"/>
      <c r="Z102" s="14"/>
      <c r="AA102" s="14"/>
      <c r="AB102" s="14"/>
      <c r="AC102" s="14"/>
      <c r="AD102" s="14"/>
      <c r="AE102" s="14"/>
      <c r="AF102" s="14"/>
      <c r="AG102" s="14"/>
      <c r="AH102" s="14"/>
      <c r="AI102" s="14"/>
    </row>
    <row r="103" spans="1:35" x14ac:dyDescent="0.35">
      <c r="A103" s="1"/>
      <c r="C103" s="276" t="s">
        <v>30</v>
      </c>
      <c r="D103" s="277"/>
      <c r="E103" s="278"/>
      <c r="F103" s="14">
        <f>IF($C$6=0,"",F105)</f>
        <v>3718.4918722875937</v>
      </c>
      <c r="G103" s="14">
        <f t="shared" ref="G103:AI103" si="22">IF($C$6=0,"",G105)</f>
        <v>3718.4918722875937</v>
      </c>
      <c r="H103" s="14">
        <f t="shared" si="22"/>
        <v>3718.4918722875937</v>
      </c>
      <c r="I103" s="14">
        <f t="shared" si="22"/>
        <v>3718.4918722875937</v>
      </c>
      <c r="J103" s="14">
        <f t="shared" si="22"/>
        <v>3718.4918722875937</v>
      </c>
      <c r="K103" s="14">
        <f t="shared" si="22"/>
        <v>3718.4918722875937</v>
      </c>
      <c r="L103" s="14">
        <f t="shared" si="22"/>
        <v>3718.4918722875937</v>
      </c>
      <c r="M103" s="14">
        <f t="shared" si="22"/>
        <v>3718.4918722875937</v>
      </c>
      <c r="N103" s="14">
        <f t="shared" si="22"/>
        <v>3718.4918722875937</v>
      </c>
      <c r="O103" s="14">
        <f t="shared" si="22"/>
        <v>3718.4918722875937</v>
      </c>
      <c r="P103" s="14">
        <f t="shared" si="22"/>
        <v>3718.4918722875937</v>
      </c>
      <c r="Q103" s="14">
        <f t="shared" si="22"/>
        <v>3718.4918722875937</v>
      </c>
      <c r="R103" s="14">
        <f t="shared" si="22"/>
        <v>3718.4918722875937</v>
      </c>
      <c r="S103" s="14">
        <f t="shared" si="22"/>
        <v>3718.4918722875937</v>
      </c>
      <c r="T103" s="14">
        <f t="shared" si="22"/>
        <v>3718.4918722875937</v>
      </c>
      <c r="U103" s="14">
        <f t="shared" si="22"/>
        <v>3718.4918722875937</v>
      </c>
      <c r="V103" s="14">
        <f t="shared" si="22"/>
        <v>3718.4918722875937</v>
      </c>
      <c r="W103" s="14">
        <f t="shared" si="22"/>
        <v>3718.4918722875937</v>
      </c>
      <c r="X103" s="14">
        <f t="shared" si="22"/>
        <v>3718.4918722875937</v>
      </c>
      <c r="Y103" s="14">
        <f t="shared" si="22"/>
        <v>3718.4918722875937</v>
      </c>
      <c r="Z103" s="14">
        <f t="shared" si="22"/>
        <v>3718.4918722875937</v>
      </c>
      <c r="AA103" s="14">
        <f t="shared" si="22"/>
        <v>3718.4918722875937</v>
      </c>
      <c r="AB103" s="14">
        <f t="shared" si="22"/>
        <v>3718.4918722875937</v>
      </c>
      <c r="AC103" s="14">
        <f t="shared" si="22"/>
        <v>3718.4918722875937</v>
      </c>
      <c r="AD103" s="14">
        <f t="shared" si="22"/>
        <v>3718.4918722875937</v>
      </c>
      <c r="AE103" s="14"/>
      <c r="AF103" s="14"/>
      <c r="AG103" s="14"/>
      <c r="AH103" s="14">
        <f t="shared" si="22"/>
        <v>0</v>
      </c>
      <c r="AI103" s="14">
        <f t="shared" si="22"/>
        <v>0</v>
      </c>
    </row>
    <row r="104" spans="1:35" x14ac:dyDescent="0.35">
      <c r="A104" s="1"/>
      <c r="C104" s="276" t="s">
        <v>31</v>
      </c>
      <c r="D104" s="277"/>
      <c r="E104" s="278"/>
      <c r="F104" s="14">
        <f t="shared" ref="F104:AI104" si="23">IF($C$6=0,"",F115)</f>
        <v>3272.2728476130824</v>
      </c>
      <c r="G104" s="14">
        <f t="shared" si="23"/>
        <v>3272.2728476130824</v>
      </c>
      <c r="H104" s="14">
        <f t="shared" si="23"/>
        <v>3383.1099803084348</v>
      </c>
      <c r="I104" s="14">
        <f t="shared" si="23"/>
        <v>3383.1099803084348</v>
      </c>
      <c r="J104" s="14">
        <f t="shared" si="23"/>
        <v>3454.2750150167931</v>
      </c>
      <c r="K104" s="14">
        <f t="shared" si="23"/>
        <v>3454.2750150167931</v>
      </c>
      <c r="L104" s="14">
        <f t="shared" si="23"/>
        <v>3569.0354561763406</v>
      </c>
      <c r="M104" s="14">
        <f t="shared" si="23"/>
        <v>3569.0354561763406</v>
      </c>
      <c r="N104" s="14">
        <f t="shared" si="23"/>
        <v>3683.267128824903</v>
      </c>
      <c r="O104" s="14">
        <f t="shared" si="23"/>
        <v>3683.267128824903</v>
      </c>
      <c r="P104" s="14">
        <f t="shared" si="23"/>
        <v>3776.2892330978311</v>
      </c>
      <c r="Q104" s="14">
        <f t="shared" si="23"/>
        <v>3776.2892330978311</v>
      </c>
      <c r="R104" s="14">
        <f t="shared" si="23"/>
        <v>3893.069486410755</v>
      </c>
      <c r="S104" s="14">
        <f t="shared" si="23"/>
        <v>3893.069486410755</v>
      </c>
      <c r="T104" s="14">
        <f t="shared" si="23"/>
        <v>4009.9354659889441</v>
      </c>
      <c r="U104" s="14">
        <f t="shared" si="23"/>
        <v>4009.9354659889441</v>
      </c>
      <c r="V104" s="14">
        <f t="shared" si="23"/>
        <v>4127.2758815215693</v>
      </c>
      <c r="W104" s="14">
        <f t="shared" si="23"/>
        <v>4127.2758815215693</v>
      </c>
      <c r="X104" s="14">
        <f t="shared" si="23"/>
        <v>4245.7788283778345</v>
      </c>
      <c r="Y104" s="14">
        <f t="shared" si="23"/>
        <v>4245.7788283778345</v>
      </c>
      <c r="Z104" s="14">
        <f t="shared" si="23"/>
        <v>4366.6565617678034</v>
      </c>
      <c r="AA104" s="14">
        <f t="shared" si="23"/>
        <v>4366.6565617678034</v>
      </c>
      <c r="AB104" s="14">
        <f t="shared" si="23"/>
        <v>4492.1496217477425</v>
      </c>
      <c r="AC104" s="14">
        <f t="shared" si="23"/>
        <v>4492.1496217477425</v>
      </c>
      <c r="AD104" s="14">
        <f t="shared" si="23"/>
        <v>4626.8697235866421</v>
      </c>
      <c r="AE104" s="14"/>
      <c r="AF104" s="14"/>
      <c r="AG104" s="14"/>
      <c r="AH104" s="14">
        <f t="shared" si="23"/>
        <v>0</v>
      </c>
      <c r="AI104" s="14">
        <f t="shared" si="23"/>
        <v>0</v>
      </c>
    </row>
    <row r="105" spans="1:35" ht="16" thickBot="1" x14ac:dyDescent="0.4">
      <c r="A105" s="1"/>
      <c r="C105" s="88"/>
      <c r="D105" s="108"/>
      <c r="E105" s="109" t="s">
        <v>30</v>
      </c>
      <c r="F105" s="14">
        <f>IF($C6&lt;10000,PMT($C$7/$C$8,12*$C$8,-$C$6),IF($C6&lt;20000,PMT($C$7/$C$8,15*$C$8,-$C$6),IF($C6&lt;40000,PMT($C$7/$C$8,20*$C$8,-$C$6),IF($C6&lt;60000,PMT($C$7/$C$8,25*$C$8,-$C$6),PMT($C$7/$C$8,30*$C$8,-$C$6)))))</f>
        <v>3718.4918722875937</v>
      </c>
      <c r="G105" s="14">
        <f t="shared" ref="G105:Q107" si="24">F105</f>
        <v>3718.4918722875937</v>
      </c>
      <c r="H105" s="14">
        <f t="shared" si="24"/>
        <v>3718.4918722875937</v>
      </c>
      <c r="I105" s="14">
        <f t="shared" si="24"/>
        <v>3718.4918722875937</v>
      </c>
      <c r="J105" s="14">
        <f t="shared" si="24"/>
        <v>3718.4918722875937</v>
      </c>
      <c r="K105" s="14">
        <f t="shared" si="24"/>
        <v>3718.4918722875937</v>
      </c>
      <c r="L105" s="14">
        <f t="shared" si="24"/>
        <v>3718.4918722875937</v>
      </c>
      <c r="M105" s="14">
        <f t="shared" si="24"/>
        <v>3718.4918722875937</v>
      </c>
      <c r="N105" s="14">
        <f t="shared" si="24"/>
        <v>3718.4918722875937</v>
      </c>
      <c r="O105" s="14">
        <f t="shared" si="24"/>
        <v>3718.4918722875937</v>
      </c>
      <c r="P105" s="14">
        <f t="shared" si="24"/>
        <v>3718.4918722875937</v>
      </c>
      <c r="Q105" s="14">
        <f t="shared" si="24"/>
        <v>3718.4918722875937</v>
      </c>
      <c r="R105" s="14">
        <f>IF(C6&lt;10000,0,Q105)</f>
        <v>3718.4918722875937</v>
      </c>
      <c r="S105" s="14">
        <f>R105</f>
        <v>3718.4918722875937</v>
      </c>
      <c r="T105" s="14">
        <f>S105</f>
        <v>3718.4918722875937</v>
      </c>
      <c r="U105" s="14">
        <f>IF(C6&lt;20000,0,T105)</f>
        <v>3718.4918722875937</v>
      </c>
      <c r="V105" s="14">
        <f t="shared" ref="V105:Y107" si="25">U105</f>
        <v>3718.4918722875937</v>
      </c>
      <c r="W105" s="14">
        <f t="shared" si="25"/>
        <v>3718.4918722875937</v>
      </c>
      <c r="X105" s="14">
        <f t="shared" si="25"/>
        <v>3718.4918722875937</v>
      </c>
      <c r="Y105" s="14">
        <f t="shared" si="25"/>
        <v>3718.4918722875937</v>
      </c>
      <c r="Z105" s="14">
        <f>IF(C6&lt;40000,0,Y105)</f>
        <v>3718.4918722875937</v>
      </c>
      <c r="AA105" s="14">
        <f t="shared" ref="AA105:AD107" si="26">Z105</f>
        <v>3718.4918722875937</v>
      </c>
      <c r="AB105" s="14">
        <f t="shared" si="26"/>
        <v>3718.4918722875937</v>
      </c>
      <c r="AC105" s="14">
        <f t="shared" si="26"/>
        <v>3718.4918722875937</v>
      </c>
      <c r="AD105" s="14">
        <f t="shared" si="26"/>
        <v>3718.4918722875937</v>
      </c>
      <c r="AE105" s="14"/>
      <c r="AF105" s="14"/>
      <c r="AG105" s="14"/>
      <c r="AH105" s="14">
        <f>AG105</f>
        <v>0</v>
      </c>
      <c r="AI105" s="14">
        <f>AH105</f>
        <v>0</v>
      </c>
    </row>
    <row r="106" spans="1:35" x14ac:dyDescent="0.35">
      <c r="A106" s="1"/>
      <c r="D106" s="8"/>
      <c r="E106" s="70" t="s">
        <v>49</v>
      </c>
      <c r="F106" s="8">
        <f>F105*12</f>
        <v>44621.902467451124</v>
      </c>
      <c r="G106" s="8">
        <f t="shared" ref="G106:AI106" si="27">G105*12</f>
        <v>44621.902467451124</v>
      </c>
      <c r="H106" s="8">
        <f t="shared" si="27"/>
        <v>44621.902467451124</v>
      </c>
      <c r="I106" s="8">
        <f t="shared" si="27"/>
        <v>44621.902467451124</v>
      </c>
      <c r="J106" s="8">
        <f t="shared" si="27"/>
        <v>44621.902467451124</v>
      </c>
      <c r="K106" s="8">
        <f t="shared" si="27"/>
        <v>44621.902467451124</v>
      </c>
      <c r="L106" s="8">
        <f t="shared" si="27"/>
        <v>44621.902467451124</v>
      </c>
      <c r="M106" s="8">
        <f t="shared" si="27"/>
        <v>44621.902467451124</v>
      </c>
      <c r="N106" s="8">
        <f t="shared" si="27"/>
        <v>44621.902467451124</v>
      </c>
      <c r="O106" s="8">
        <f>O105*12</f>
        <v>44621.902467451124</v>
      </c>
      <c r="P106" s="8">
        <f t="shared" si="27"/>
        <v>44621.902467451124</v>
      </c>
      <c r="Q106" s="8">
        <f t="shared" si="27"/>
        <v>44621.902467451124</v>
      </c>
      <c r="R106" s="26">
        <f t="shared" si="27"/>
        <v>44621.902467451124</v>
      </c>
      <c r="S106" s="26">
        <f t="shared" si="27"/>
        <v>44621.902467451124</v>
      </c>
      <c r="T106" s="26">
        <f t="shared" si="27"/>
        <v>44621.902467451124</v>
      </c>
      <c r="U106" s="26">
        <f t="shared" si="27"/>
        <v>44621.902467451124</v>
      </c>
      <c r="V106" s="26">
        <f t="shared" si="27"/>
        <v>44621.902467451124</v>
      </c>
      <c r="W106" s="26">
        <f t="shared" si="27"/>
        <v>44621.902467451124</v>
      </c>
      <c r="X106" s="26">
        <f t="shared" si="27"/>
        <v>44621.902467451124</v>
      </c>
      <c r="Y106" s="26">
        <f t="shared" si="27"/>
        <v>44621.902467451124</v>
      </c>
      <c r="Z106" s="26">
        <f t="shared" si="27"/>
        <v>44621.902467451124</v>
      </c>
      <c r="AA106" s="26">
        <f t="shared" si="27"/>
        <v>44621.902467451124</v>
      </c>
      <c r="AB106" s="26">
        <f t="shared" si="27"/>
        <v>44621.902467451124</v>
      </c>
      <c r="AC106" s="23">
        <f t="shared" si="27"/>
        <v>44621.902467451124</v>
      </c>
      <c r="AD106" s="23">
        <f t="shared" si="27"/>
        <v>44621.902467451124</v>
      </c>
      <c r="AE106" s="23">
        <f t="shared" si="27"/>
        <v>0</v>
      </c>
      <c r="AF106" s="23"/>
      <c r="AG106" s="23"/>
      <c r="AH106" s="23">
        <f t="shared" si="27"/>
        <v>0</v>
      </c>
      <c r="AI106" s="23">
        <f t="shared" si="27"/>
        <v>0</v>
      </c>
    </row>
    <row r="107" spans="1:35" x14ac:dyDescent="0.35">
      <c r="A107" s="1"/>
      <c r="B107" s="1" t="s">
        <v>10</v>
      </c>
      <c r="D107" s="8">
        <f>IF(K107="N/A","N/A",SUM(F107:AI107)*12)</f>
        <v>1183314.1771822104</v>
      </c>
      <c r="E107" s="22"/>
      <c r="F107" s="14">
        <f>($C$6*$C$7)/12</f>
        <v>3338.7499499999999</v>
      </c>
      <c r="G107" s="14">
        <f>($C$6*$C$7)/12</f>
        <v>3338.7499499999999</v>
      </c>
      <c r="H107" s="14">
        <f>($C$6*$C$7)/12</f>
        <v>3338.7499499999999</v>
      </c>
      <c r="I107" s="14">
        <f>($C$6*$C$7)/12</f>
        <v>3338.7499499999999</v>
      </c>
      <c r="J107" s="14">
        <f>IF($C$6&lt;10000,PMT($C$7/$C$8,8*$C$8,-$C$6),IF($C$6&lt;20000,PMT($C$7/$C$8,11*$C$8,-$C$6),IF($C$6&lt;40000,PMT($C$7/$C$8,16*$C$8,-$C$6),IF($C$6&lt;60000,PMT($C$7/$C$8,21*$C$8,-$C$6),PMT($C$7/$C$8,26*$C$8,-$C$6)))))</f>
        <v>3875.2052256901884</v>
      </c>
      <c r="K107" s="14">
        <f>IF(J107&gt;($F$107*3),"N/A",J107)</f>
        <v>3875.2052256901884</v>
      </c>
      <c r="L107" s="14">
        <f t="shared" si="24"/>
        <v>3875.2052256901884</v>
      </c>
      <c r="M107" s="14">
        <f t="shared" si="24"/>
        <v>3875.2052256901884</v>
      </c>
      <c r="N107" s="14">
        <f t="shared" si="24"/>
        <v>3875.2052256901884</v>
      </c>
      <c r="O107" s="14">
        <f t="shared" si="24"/>
        <v>3875.2052256901884</v>
      </c>
      <c r="P107" s="14">
        <f t="shared" si="24"/>
        <v>3875.2052256901884</v>
      </c>
      <c r="Q107" s="14">
        <f t="shared" si="24"/>
        <v>3875.2052256901884</v>
      </c>
      <c r="R107" s="14">
        <f>IF($C$6&lt;10000,0,Q107)</f>
        <v>3875.2052256901884</v>
      </c>
      <c r="S107" s="14">
        <f>R107</f>
        <v>3875.2052256901884</v>
      </c>
      <c r="T107" s="14">
        <f>S107</f>
        <v>3875.2052256901884</v>
      </c>
      <c r="U107" s="14">
        <f>IF($C$6&lt;20000,0,T107)</f>
        <v>3875.2052256901884</v>
      </c>
      <c r="V107" s="14">
        <f t="shared" si="25"/>
        <v>3875.2052256901884</v>
      </c>
      <c r="W107" s="14">
        <f t="shared" si="25"/>
        <v>3875.2052256901884</v>
      </c>
      <c r="X107" s="14">
        <f t="shared" si="25"/>
        <v>3875.2052256901884</v>
      </c>
      <c r="Y107" s="14">
        <f t="shared" si="25"/>
        <v>3875.2052256901884</v>
      </c>
      <c r="Z107" s="14">
        <f>IF($C$6&lt;40000,0,Y107)</f>
        <v>3875.2052256901884</v>
      </c>
      <c r="AA107" s="14">
        <f t="shared" si="26"/>
        <v>3875.2052256901884</v>
      </c>
      <c r="AB107" s="14">
        <f t="shared" si="26"/>
        <v>3875.2052256901884</v>
      </c>
      <c r="AC107" s="14">
        <f t="shared" si="26"/>
        <v>3875.2052256901884</v>
      </c>
      <c r="AD107" s="14">
        <f t="shared" si="26"/>
        <v>3875.2052256901884</v>
      </c>
      <c r="AE107" s="14">
        <f>IF($C$6&lt;60000,0,AD107)</f>
        <v>3875.2052256901884</v>
      </c>
      <c r="AF107" s="14"/>
      <c r="AG107" s="14"/>
      <c r="AH107" s="14">
        <f>AG107</f>
        <v>0</v>
      </c>
      <c r="AI107" s="14">
        <f>AH107</f>
        <v>0</v>
      </c>
    </row>
    <row r="108" spans="1:35" s="8" customFormat="1" x14ac:dyDescent="0.35">
      <c r="E108" s="22" t="s">
        <v>43</v>
      </c>
      <c r="F108" s="8">
        <f>F109*12</f>
        <v>75228.125237483313</v>
      </c>
      <c r="G108" s="8">
        <f t="shared" ref="G108:O108" si="28">G109*12</f>
        <v>75228.125237483313</v>
      </c>
      <c r="H108" s="8">
        <f t="shared" si="28"/>
        <v>75228.125237483313</v>
      </c>
      <c r="I108" s="8">
        <f t="shared" si="28"/>
        <v>75228.125237483313</v>
      </c>
      <c r="J108" s="8">
        <f t="shared" si="28"/>
        <v>75228.125237483313</v>
      </c>
      <c r="K108" s="8">
        <f t="shared" si="28"/>
        <v>75228.125237483313</v>
      </c>
      <c r="L108" s="8">
        <f t="shared" si="28"/>
        <v>75228.125237483313</v>
      </c>
      <c r="M108" s="8">
        <f t="shared" si="28"/>
        <v>75228.125237483313</v>
      </c>
      <c r="N108" s="8">
        <f t="shared" si="28"/>
        <v>75228.125237483313</v>
      </c>
      <c r="O108" s="8">
        <f t="shared" si="28"/>
        <v>75228.125237483313</v>
      </c>
    </row>
    <row r="109" spans="1:35" x14ac:dyDescent="0.35">
      <c r="A109" s="1"/>
      <c r="B109" s="1" t="s">
        <v>132</v>
      </c>
      <c r="C109" s="54">
        <f>PMT(C$7/12,10*12,-C$6)</f>
        <v>6269.0104364569424</v>
      </c>
      <c r="E109" s="9" t="s">
        <v>11</v>
      </c>
      <c r="F109" s="14">
        <f>PMT(C$7/12,10*12,-C$6)</f>
        <v>6269.0104364569424</v>
      </c>
      <c r="G109" s="14">
        <f t="shared" ref="G109:O109" si="29">$F$109</f>
        <v>6269.0104364569424</v>
      </c>
      <c r="H109" s="14">
        <f t="shared" si="29"/>
        <v>6269.0104364569424</v>
      </c>
      <c r="I109" s="14">
        <f t="shared" si="29"/>
        <v>6269.0104364569424</v>
      </c>
      <c r="J109" s="14">
        <f t="shared" si="29"/>
        <v>6269.0104364569424</v>
      </c>
      <c r="K109" s="14">
        <f t="shared" si="29"/>
        <v>6269.0104364569424</v>
      </c>
      <c r="L109" s="14">
        <f t="shared" si="29"/>
        <v>6269.0104364569424</v>
      </c>
      <c r="M109" s="14">
        <f t="shared" si="29"/>
        <v>6269.0104364569424</v>
      </c>
      <c r="N109" s="14">
        <f t="shared" si="29"/>
        <v>6269.0104364569424</v>
      </c>
      <c r="O109" s="14">
        <f t="shared" si="29"/>
        <v>6269.0104364569424</v>
      </c>
      <c r="P109" s="14">
        <v>0</v>
      </c>
      <c r="Q109" s="14">
        <v>0</v>
      </c>
      <c r="R109" s="14">
        <v>0</v>
      </c>
      <c r="S109" s="14">
        <v>0</v>
      </c>
      <c r="T109" s="14">
        <v>0</v>
      </c>
      <c r="U109" s="14">
        <v>0</v>
      </c>
      <c r="V109" s="14">
        <v>0</v>
      </c>
      <c r="W109" s="14">
        <v>0</v>
      </c>
      <c r="X109" s="14">
        <v>0</v>
      </c>
      <c r="Y109" s="14">
        <v>0</v>
      </c>
      <c r="Z109" s="14">
        <v>0</v>
      </c>
      <c r="AA109" s="14">
        <v>0</v>
      </c>
      <c r="AB109" s="14">
        <v>0</v>
      </c>
      <c r="AC109" s="14">
        <v>0</v>
      </c>
      <c r="AD109" s="14">
        <v>0</v>
      </c>
      <c r="AE109" s="14"/>
      <c r="AF109" s="14"/>
      <c r="AG109" s="14"/>
      <c r="AH109" s="14"/>
      <c r="AI109" s="14"/>
    </row>
    <row r="110" spans="1:35" x14ac:dyDescent="0.35">
      <c r="A110" s="1"/>
      <c r="B110" s="1" t="s">
        <v>12</v>
      </c>
      <c r="D110" s="47">
        <f>IF(J110="N/A","N/A",SUM(F110:O110)*12)</f>
        <v>818654.05599707051</v>
      </c>
      <c r="E110" s="24"/>
      <c r="F110" s="25">
        <f>PMT($C$7/12,10*12,(0.69)*-($C$6))</f>
        <v>4325.617201155289</v>
      </c>
      <c r="G110" s="25">
        <f>PMT($C$7/12,10*12,(0.69)*-($C$6))</f>
        <v>4325.617201155289</v>
      </c>
      <c r="H110" s="25">
        <f>PMT($C$7/12,8*12,(0.76)*-($G$114))</f>
        <v>5306.4681867792406</v>
      </c>
      <c r="I110" s="25">
        <f>PMT($C$7/12,8*12,(0.76)*-($G$114))</f>
        <v>5306.4681867792406</v>
      </c>
      <c r="J110" s="25">
        <f>PMT($C$7/12,6*12,(0.84)*-($I$114))</f>
        <v>6524.8013844541429</v>
      </c>
      <c r="K110" s="25">
        <f>PMT($C$7/12,6*12,(0.84)*-($I$114))</f>
        <v>6524.8013844541429</v>
      </c>
      <c r="L110" s="25">
        <f>PMT($C$7/12,4*12,(0.9)*-($K$114))</f>
        <v>7765.5762775106523</v>
      </c>
      <c r="M110" s="25">
        <f>PMT($C$7/12,4*12,(0.9)*-($K$114))</f>
        <v>7765.5762775106523</v>
      </c>
      <c r="N110" s="25">
        <f>PMT($C$7/12,2*12,-($M$114))</f>
        <v>9862.0602159492046</v>
      </c>
      <c r="O110" s="25">
        <f>(PMT($C$7/12,2*12,-($M$114)))+((N114-(N111-(N114*$C7)))/12)</f>
        <v>10514.185017341346</v>
      </c>
      <c r="P110" s="14"/>
      <c r="Q110" s="14"/>
      <c r="R110" s="14"/>
      <c r="S110" s="14"/>
      <c r="T110" s="14"/>
      <c r="U110" s="14"/>
      <c r="V110" s="14"/>
      <c r="W110" s="14"/>
      <c r="X110" s="14"/>
      <c r="Y110" s="14"/>
      <c r="Z110" s="14"/>
      <c r="AA110" s="14"/>
      <c r="AB110" s="14"/>
      <c r="AC110" s="14"/>
      <c r="AD110" s="14"/>
    </row>
    <row r="111" spans="1:35" x14ac:dyDescent="0.35">
      <c r="A111" s="1"/>
      <c r="B111" s="1" t="s">
        <v>13</v>
      </c>
      <c r="E111" s="9"/>
      <c r="F111" s="19">
        <f>F110*12</f>
        <v>51907.406413863471</v>
      </c>
      <c r="G111" s="19">
        <f>G110*12</f>
        <v>51907.406413863471</v>
      </c>
      <c r="H111" s="19">
        <f t="shared" ref="H111:AD111" si="30">H110*12</f>
        <v>63677.618241350887</v>
      </c>
      <c r="I111" s="19">
        <f t="shared" si="30"/>
        <v>63677.618241350887</v>
      </c>
      <c r="J111" s="19">
        <f t="shared" si="30"/>
        <v>78297.616613449718</v>
      </c>
      <c r="K111" s="19">
        <f t="shared" si="30"/>
        <v>78297.616613449718</v>
      </c>
      <c r="L111" s="19">
        <f t="shared" si="30"/>
        <v>93186.915330127827</v>
      </c>
      <c r="M111" s="19">
        <f t="shared" si="30"/>
        <v>93186.915330127827</v>
      </c>
      <c r="N111" s="19">
        <f t="shared" si="30"/>
        <v>118344.72259139045</v>
      </c>
      <c r="O111" s="19">
        <f>O110*12</f>
        <v>126170.22020809614</v>
      </c>
      <c r="P111" s="19">
        <f t="shared" si="30"/>
        <v>0</v>
      </c>
      <c r="Q111" s="19">
        <f t="shared" si="30"/>
        <v>0</v>
      </c>
      <c r="R111" s="19">
        <f t="shared" si="30"/>
        <v>0</v>
      </c>
      <c r="S111" s="19">
        <f t="shared" si="30"/>
        <v>0</v>
      </c>
      <c r="T111" s="19">
        <f t="shared" si="30"/>
        <v>0</v>
      </c>
      <c r="U111" s="19">
        <f t="shared" si="30"/>
        <v>0</v>
      </c>
      <c r="V111" s="19">
        <f t="shared" si="30"/>
        <v>0</v>
      </c>
      <c r="W111" s="19">
        <f t="shared" si="30"/>
        <v>0</v>
      </c>
      <c r="X111" s="19">
        <f t="shared" si="30"/>
        <v>0</v>
      </c>
      <c r="Y111" s="19">
        <f t="shared" si="30"/>
        <v>0</v>
      </c>
      <c r="Z111" s="19">
        <f t="shared" si="30"/>
        <v>0</v>
      </c>
      <c r="AA111" s="19">
        <f t="shared" si="30"/>
        <v>0</v>
      </c>
      <c r="AB111" s="19">
        <f t="shared" si="30"/>
        <v>0</v>
      </c>
      <c r="AC111" s="19">
        <f t="shared" si="30"/>
        <v>0</v>
      </c>
      <c r="AD111" s="19">
        <f t="shared" si="30"/>
        <v>0</v>
      </c>
    </row>
    <row r="112" spans="1:35" x14ac:dyDescent="0.35">
      <c r="A112" s="1"/>
      <c r="B112" s="1" t="s">
        <v>6</v>
      </c>
      <c r="E112" s="9"/>
      <c r="F112" s="19">
        <f>$C$6*$C$7</f>
        <v>40064.999400000001</v>
      </c>
      <c r="G112" s="19">
        <f>F114*$C$7</f>
        <v>39161.492074487483</v>
      </c>
      <c r="H112" s="19">
        <f t="shared" ref="H112:AI112" si="31">G114*$C$7</f>
        <v>38189.052353196028</v>
      </c>
      <c r="I112" s="19">
        <f t="shared" si="31"/>
        <v>36244.421842709671</v>
      </c>
      <c r="J112" s="19">
        <f t="shared" si="31"/>
        <v>34151.427244619947</v>
      </c>
      <c r="K112" s="19">
        <f t="shared" si="31"/>
        <v>30783.327715402007</v>
      </c>
      <c r="L112" s="19">
        <f t="shared" si="31"/>
        <v>27158.261625742321</v>
      </c>
      <c r="M112" s="19">
        <f t="shared" si="31"/>
        <v>22120.656327613044</v>
      </c>
      <c r="N112" s="19">
        <f t="shared" si="31"/>
        <v>16698.710811775301</v>
      </c>
      <c r="O112" s="19">
        <f t="shared" si="31"/>
        <v>8943.7066015245218</v>
      </c>
      <c r="P112" s="19">
        <f t="shared" si="31"/>
        <v>0</v>
      </c>
      <c r="Q112" s="19">
        <f t="shared" si="31"/>
        <v>0</v>
      </c>
      <c r="R112" s="19">
        <f t="shared" si="31"/>
        <v>0</v>
      </c>
      <c r="S112" s="19">
        <f t="shared" si="31"/>
        <v>0</v>
      </c>
      <c r="T112" s="19">
        <f t="shared" si="31"/>
        <v>0</v>
      </c>
      <c r="U112" s="19">
        <f t="shared" si="31"/>
        <v>0</v>
      </c>
      <c r="V112" s="19">
        <f t="shared" si="31"/>
        <v>0</v>
      </c>
      <c r="W112" s="19">
        <f t="shared" si="31"/>
        <v>0</v>
      </c>
      <c r="X112" s="19">
        <f t="shared" si="31"/>
        <v>0</v>
      </c>
      <c r="Y112" s="19">
        <f t="shared" si="31"/>
        <v>0</v>
      </c>
      <c r="Z112" s="19">
        <f t="shared" si="31"/>
        <v>0</v>
      </c>
      <c r="AA112" s="19">
        <f t="shared" si="31"/>
        <v>0</v>
      </c>
      <c r="AB112" s="19">
        <f t="shared" si="31"/>
        <v>0</v>
      </c>
      <c r="AC112" s="19">
        <f t="shared" si="31"/>
        <v>0</v>
      </c>
      <c r="AD112" s="19">
        <f>AC114*$C$7</f>
        <v>0</v>
      </c>
      <c r="AE112" s="19">
        <f t="shared" si="31"/>
        <v>0</v>
      </c>
      <c r="AF112" s="19"/>
      <c r="AG112" s="19"/>
      <c r="AH112" s="19">
        <f t="shared" si="31"/>
        <v>0</v>
      </c>
      <c r="AI112" s="19">
        <f t="shared" si="31"/>
        <v>0</v>
      </c>
    </row>
    <row r="113" spans="1:35" x14ac:dyDescent="0.35">
      <c r="A113" s="1"/>
      <c r="B113" s="1" t="s">
        <v>14</v>
      </c>
      <c r="E113" s="9"/>
      <c r="F113" s="19">
        <f>F111-F112</f>
        <v>11842.407013863471</v>
      </c>
      <c r="G113" s="19">
        <f>G111-G112</f>
        <v>12745.914339375988</v>
      </c>
      <c r="H113" s="19">
        <f t="shared" ref="H113:N113" si="32">H111-H112</f>
        <v>25488.565888154859</v>
      </c>
      <c r="I113" s="19">
        <f t="shared" si="32"/>
        <v>27433.196398641216</v>
      </c>
      <c r="J113" s="19">
        <f t="shared" si="32"/>
        <v>44146.189368829771</v>
      </c>
      <c r="K113" s="19">
        <f t="shared" si="32"/>
        <v>47514.288898047715</v>
      </c>
      <c r="L113" s="19">
        <f t="shared" si="32"/>
        <v>66028.653704385506</v>
      </c>
      <c r="M113" s="19">
        <f t="shared" si="32"/>
        <v>71066.25900251478</v>
      </c>
      <c r="N113" s="19">
        <f t="shared" si="32"/>
        <v>101646.01177961516</v>
      </c>
      <c r="O113" s="19">
        <f>O111-O112</f>
        <v>117226.51360657162</v>
      </c>
      <c r="P113" s="19"/>
      <c r="Q113" s="19"/>
      <c r="R113" s="19"/>
      <c r="S113" s="19"/>
      <c r="T113" s="19"/>
      <c r="U113" s="19"/>
      <c r="V113" s="19"/>
      <c r="W113" s="19"/>
      <c r="X113" s="19"/>
      <c r="Y113" s="19"/>
    </row>
    <row r="114" spans="1:35" x14ac:dyDescent="0.35">
      <c r="A114" s="1"/>
      <c r="B114" s="1" t="s">
        <v>8</v>
      </c>
      <c r="E114" s="9"/>
      <c r="F114" s="19">
        <f>$C$6-F113</f>
        <v>513295.59298613656</v>
      </c>
      <c r="G114" s="19">
        <f>F114-G113</f>
        <v>500549.67864676059</v>
      </c>
      <c r="H114" s="19">
        <f t="shared" ref="H114:O114" si="33">G114-H113</f>
        <v>475061.11275860574</v>
      </c>
      <c r="I114" s="19">
        <f t="shared" si="33"/>
        <v>447627.91635996453</v>
      </c>
      <c r="J114" s="19">
        <f t="shared" si="33"/>
        <v>403481.72699113475</v>
      </c>
      <c r="K114" s="19">
        <f t="shared" si="33"/>
        <v>355967.43809308705</v>
      </c>
      <c r="L114" s="19">
        <f t="shared" si="33"/>
        <v>289938.78438870155</v>
      </c>
      <c r="M114" s="19">
        <f t="shared" si="33"/>
        <v>218872.52538618678</v>
      </c>
      <c r="N114" s="19">
        <f t="shared" si="33"/>
        <v>117226.51360657162</v>
      </c>
      <c r="O114" s="19">
        <f t="shared" si="33"/>
        <v>0</v>
      </c>
      <c r="P114" s="19"/>
      <c r="Q114" s="19"/>
      <c r="R114" s="19"/>
      <c r="S114" s="19"/>
      <c r="T114" s="19"/>
      <c r="U114" s="19"/>
      <c r="V114" s="19"/>
      <c r="W114" s="19"/>
      <c r="X114" s="19"/>
      <c r="Y114" s="19"/>
    </row>
    <row r="115" spans="1:35" x14ac:dyDescent="0.35">
      <c r="A115" s="1"/>
      <c r="D115" s="8"/>
      <c r="E115" s="70" t="s">
        <v>31</v>
      </c>
      <c r="F115" s="14">
        <f>IF($C$6&lt;10000,PMT($C$7/12,12*12,(0.7)*-($C$6)),IF($C$6&lt;20000,PMT($C$7/12,15*12,(0.69)*-($C$6)),IF($C$6&lt;40000,PMT($C$7/12,20*12,(0.75)*-($C$6)),IF($C$6&lt;60000,PMT($C$7/12,25*12,(0.83)*-($C$6)),PMT($C$7/12,30*12,(0.88)*-($C$6))))))</f>
        <v>3272.2728476130824</v>
      </c>
      <c r="G115" s="14">
        <f>IF($C$6&lt;10000,PMT($C$7/12,12*12,(0.7)*-($C$6)),IF($C$6&lt;20000,PMT($C$7/12,15*12,(0.69)*-($C$6)),IF($C$6&lt;40000,PMT($C$7/12,20*12,(0.75)*-($C$6)),IF($C$6&lt;60000,PMT($C$7/12,25*12,(0.83)*-($C$6)),PMT($C$7/12,30*12,(0.88)*-($C$6))))))</f>
        <v>3272.2728476130824</v>
      </c>
      <c r="H115" s="14">
        <f>IF($C$6&lt;10000,PMT($C$7/12,10*12,(0.75)*-($G$119)),IF($C$6&lt;20000,PMT($C$7/12,13*12,(0.72)*-($G$119)),IF($C$6&lt;40000,PMT($C$7/12,(20-$G$73)*12,(0.78)*-($G$119)),IF($C$6&lt;60000,PMT($C$7/12,(25-$G$73)*12,(0.84)*-($G$119)),PMT($C$7/12,(30-2)*12,(0.89)*-($G$119))))))</f>
        <v>3383.1099803084348</v>
      </c>
      <c r="I115" s="14">
        <f>IF($C$6&lt;10000,PMT($C$7/12,10*12,(0.75)*-($G$119)),IF($C$6&lt;20000,PMT($C$7/12,13*12,(0.72)*-($G$119)),IF($C$6&lt;40000,PMT($C$7/12,(20-$G$73)*12,(0.78)*-($G$119)),IF($C$6&lt;60000,PMT($C$7/12,(25-$G$73)*12,(0.84)*-($G$119)),PMT($C$7/12,(30-2)*12,(0.89)*-($G$119))))))</f>
        <v>3383.1099803084348</v>
      </c>
      <c r="J115" s="14">
        <f>IF($C$6&lt;10000,PMT($C$7/12,8*12,(0.81)*-($I$119)),IF($C$6&lt;20000,PMT($C$7/12,11*12,(0.76)*-($I$119)),IF($C$6&lt;40000,PMT($C$7/12,(20-$I73)*12,(0.8)*-($I$119)),IF($C$6&lt;60000,PMT($C$7/12,(25-$I$73)*12,(0.85)*-($I$119)),PMT($C$7/12,(30-4)*12,(0.89)*-($I$119))))))</f>
        <v>3454.2750150167931</v>
      </c>
      <c r="K115" s="14">
        <f>IF($C$6&lt;10000,PMT($C$7/12,8*12,(0.81)*-($I$119)),IF($C$6&lt;20000,PMT($C$7/12,11*12,(0.76)*-($I$119)),IF($C$6&lt;40000,PMT($C$7/12,(20-$I73)*12,(0.8)*-($I$119)),IF($C$6&lt;60000,PMT($C$7/12,(25-$I$73)*12,(0.85)*-($I$119)),PMT($C$7/12,(30-4)*12,(0.89)*-($I$119))))))</f>
        <v>3454.2750150167931</v>
      </c>
      <c r="L115" s="14">
        <f>IF($C$6&lt;10000,PMT($C$7/12,6*12,(0.87)*-($K$119)),IF($C$6&lt;20000,PMT($C$7/12,9*12,(0.81)*-($K$119)),IF($C$6&lt;40000,PMT($C$7/12,(20-$K$73)*12,(0.82)*-($K$119)),IF($C$6&lt;60000,PMT($C$7/12,(25-$K$73)*12,(0.87)*-($K$119)),PMT($C$7/12,(30-6)*12,(0.9)*-($K$119))))))</f>
        <v>3569.0354561763406</v>
      </c>
      <c r="M115" s="14">
        <f>IF($C$6&lt;10000,PMT($C$7/12,6*12,(0.87)*-($K$119)),IF($C$6&lt;20000,PMT($C$7/12,9*12,(0.81)*-($K$119)),IF($C$6&lt;40000,PMT($C$7/12,(20-$K$73)*12,(0.82)*-($K$119)),IF($C$6&lt;60000,PMT($C$7/12,(25-$K$73)*12,(0.87)*-($K$119)),PMT($C$7/12,(30-6)*12,(0.9)*-($K$119))))))</f>
        <v>3569.0354561763406</v>
      </c>
      <c r="N115" s="14">
        <f>IF($C$6&lt;10000,PMT($C$7/12,4*12,0.93*-($M$119)),IF($C$6&lt;20000,PMT($C$7/12,7*12,(0.85)*-($M$119)),IF($C$6&lt;40000,PMT($C$7/12,(20-$M$73)*12,(0.85)*-($M$119)),IF($C$6&lt;60000,PMT($C$7/12,(25-$M$73)*12,(0.88)*-($M$119)),PMT($C$7/12,(30-8)*12,(0.91)*-($M$119))))))</f>
        <v>3683.267128824903</v>
      </c>
      <c r="O115" s="14">
        <f>IF($C$6&lt;10000,PMT($C$7/12,4*12,0.93*-($M$119)),IF($C$6&lt;20000,PMT($C$7/12,7*12,(0.85)*-($M$119)),IF($C$6&lt;40000,PMT($C$7/12,(20-$M$73)*12,(0.85)*-($M$119)),IF($C$6&lt;60000,PMT($C$7/12,(25-$M$73)*12,(0.88)*-($M$119)),PMT($C$7/12,(30-8)*12,(0.91)*-($M$119))))))</f>
        <v>3683.267128824903</v>
      </c>
      <c r="P115" s="14">
        <f>IF($C$6&lt;10000,PMT($C$7/12,2*12,-($O$119)),IF($C$6&lt;20000,PMT($C$7/12,5*12,(0.9)*-($O$119)),IF($C$6&lt;40000,PMT($C$7/12,(20-$O$73)*12,(0.88)*-($O$119)),IF($C$6&lt;60000,PMT($C$7/12,(25-$O$73)*12,(0.89)*-($O$119)),PMT($C$7/12,(30-10)*12,(0.915)*-($O$119))))))</f>
        <v>3776.2892330978311</v>
      </c>
      <c r="Q115" s="14">
        <f>IF($C$6&lt;10000,(PMT($C$7/12,2*12,-($O$119)))+(((P115*12)-((P115*12)-(P119*$C$7)))/12),IF($C$6&lt;20000,PMT($C$7/12,5*12,(0.9)*-($O$119)),IF($C$6&lt;40000,PMT($C$7/12,(20-$O$73)*12,(0.88)*-($O$119)),IF($C$6&lt;60000,PMT($C$7/12,(25-$O$73)*12,(0.89)*-($O$119)),PMT($C$7/12,(30-10)*12,(0.915)*-($O$119))))))</f>
        <v>3776.2892330978311</v>
      </c>
      <c r="R115" s="14">
        <f>IF($C$6&lt;10000,0,IF($C$6&lt;20000,PMT($C$7/12,3*12,(0.94)*-($Q$119)),IF($C$6&lt;40000,PMT($C$7/12,(20-$Q$73)*12,(0.9)*-($Q$119)),IF($C$6&lt;60000,PMT($C$7/12,(25-$Q$73)*12,(0.91)*-($Q$119)),PMT($C$7/12,(30-12)*12,(0.925)*-($Q$119))))))</f>
        <v>3893.069486410755</v>
      </c>
      <c r="S115" s="14">
        <f>IF($C$6&lt;10000,0,IF($C$6&lt;20000,PMT($C$7/12,3*12,(0.94)*-($Q$119)),IF($C$6&lt;40000,PMT($C$7/12,(20-$Q$73)*12,(0.9)*-($Q$119)),IF($C$6&lt;60000,PMT($C$7/12,(25-$Q$73)*12,(0.91)*-($Q$119)),PMT($C$7/12,(30-12)*12,(0.925)*-($Q$119))))))</f>
        <v>3893.069486410755</v>
      </c>
      <c r="T115" s="14">
        <f>IF($C$6&lt;10000,0,IF($C$6&lt;20000,(PMT($C$7/12,12,-($S$119))),IF($C$6&lt;40000,PMT($C$7/12,(20-$S$73)*12,(0.93)*-($S$119)),IF($C$6&lt;60000,PMT($C$7/12,(25-$S$73)*12,(0.92)*-($S$119)),PMT($C$7/12,(30-14)*12,(0.935)*-($S$119))))))</f>
        <v>4009.9354659889441</v>
      </c>
      <c r="U115" s="14">
        <f>IF($C$6&lt;20000,0,IF($C$6&lt;40000,PMT($C$7/12,(20-$S$73)*12,(0.93)*-($S$119)),IF($C$6&lt;60000,PMT($C$7/12,(25-$S$73)*12,(0.92)*-($S$119)),PMT($C$7/12,(30-14)*12,(0.935)*-($S$119)))))</f>
        <v>4009.9354659889441</v>
      </c>
      <c r="V115" s="14">
        <f>IF($C$6&lt;10000,0,IF($C$6&lt;20000,0,IF($C$6&lt;40000,PMT($C$7/12,(20-$U$73)*12,(0.96)*-($U$119)),IF($C$6&lt;60000,PMT($C$7/12,(25-$U$73)*12,(0.94)*-($U$119)),PMT($C$7/12,(30-16)*12,(0.945)*-($U$119))))))</f>
        <v>4127.2758815215693</v>
      </c>
      <c r="W115" s="14">
        <f>IF($C$6&lt;10000,0,IF($C$6&lt;20000,0,IF($C$6&lt;40000,PMT($C$7/12,(20-$U$73)*12,(0.96)*-($U$119)),IF($C$6&lt;60000,PMT($C$7/12,(25-$U$73)*12,(0.94)*-($U$119)),PMT($C$7/12,(30-16)*12,(0.945)*-($U$119))))))</f>
        <v>4127.2758815215693</v>
      </c>
      <c r="X115" s="14">
        <f>IF($C$6&lt;10000,0,IF($C$6&lt;20000,0,IF($C$6&lt;40000,PMT($C$7/12,(20-$W$73)*12,-($W$119)),IF($C$6&lt;60000,PMT($C$7/12,(25-$W$73)*12,(0.96)*-($W$119)),PMT($C$7/12,(30-18)*12,(0.955)*-($W$119))))))</f>
        <v>4245.7788283778345</v>
      </c>
      <c r="Y115" s="14">
        <f>IF($C$6&lt;10000,0,IF($C$6&lt;20000,0,IF($C$6&lt;40000,(PMT($C$7/12,(20-$W$73)*12,-($W$119)))+(((X115*12)-((X115*12)-(X119*$C$7)))/12),IF($C$6&lt;60000,PMT($C$7/12,(25-$W$73)*12,(0.96)*-($W$119)),PMT($C$7/12,(30-18)*12,(0.955)*-($W$119))))))</f>
        <v>4245.7788283778345</v>
      </c>
      <c r="Z115" s="14">
        <f>IF($C$6&lt;40000,0,IF($C$6&lt;60000,PMT($C$7/12,(25-$Y$73)*12,(0.97)*-($Y$119)),PMT($C$7/12,(30-20)*12,(0.965)*-($Y$119))))</f>
        <v>4366.6565617678034</v>
      </c>
      <c r="AA115" s="14">
        <f>IF($C$6&lt;40000,0,IF($C$6&lt;60000,PMT($C$7/12,(25-$Y$73)*12,(0.97)*-($Y$119)),PMT($C$7/12,(30-20)*12,(0.965)*-($Y$119))))</f>
        <v>4366.6565617678034</v>
      </c>
      <c r="AB115" s="14">
        <f>IF($C$6&lt;40000,0,IF($C$6&lt;60000,PMT($C$7/12,(25-$AA$73)*12,(0.98)*-($AA$119)),PMT($C$7/12,(30-22)*12,(0.975)*-($AA$119))))</f>
        <v>4492.1496217477425</v>
      </c>
      <c r="AC115" s="14">
        <f>IF($C$6&lt;40000,0,IF($C$6&lt;60000,PMT($C$7/12,(25-$AA$73)*12,(0.98)*-($AA$119)),PMT($C$7/12,(30-22)*12,(0.975)*-($AA$119))))</f>
        <v>4492.1496217477425</v>
      </c>
      <c r="AD115" s="14">
        <f>IF($C$6&lt;40000,0,IF($C$6&lt;60000,PMT($C$7/12,12,-($AC$119)),PMT($C$7/12,(30-24)*12,(0.985)*-($AC$119))))</f>
        <v>4626.8697235866421</v>
      </c>
      <c r="AE115" s="14">
        <f>IF($C$6&lt;60000,0,PMT($C$7/12,(30-24)*12,(0.985)*-($AC$119)))</f>
        <v>4626.8697235866421</v>
      </c>
      <c r="AF115" s="14"/>
      <c r="AG115" s="14"/>
      <c r="AH115" s="14">
        <f>IF($C$6&lt;60000,0,PMT($C$7/12,(30-28)*12,-($AG$119)))</f>
        <v>0</v>
      </c>
      <c r="AI115" s="14">
        <f>IF($C$6&lt;60000,0,(PMT($C$7/12,(30-28)*12,-($AG$119)))+(((AH115*12)-((AH115*12)-(AH119*$C$7)))/12))</f>
        <v>0</v>
      </c>
    </row>
    <row r="116" spans="1:35" x14ac:dyDescent="0.35">
      <c r="A116" s="1"/>
      <c r="B116" s="1" t="s">
        <v>15</v>
      </c>
      <c r="F116" s="19">
        <f>F115*12</f>
        <v>39267.274171356985</v>
      </c>
      <c r="G116" s="19">
        <f>G115*12</f>
        <v>39267.274171356985</v>
      </c>
      <c r="H116" s="19">
        <f t="shared" ref="H116:N116" si="34">H115*12</f>
        <v>40597.31976370122</v>
      </c>
      <c r="I116" s="19">
        <f t="shared" si="34"/>
        <v>40597.31976370122</v>
      </c>
      <c r="J116" s="19">
        <f t="shared" si="34"/>
        <v>41451.300180201521</v>
      </c>
      <c r="K116" s="19">
        <f t="shared" si="34"/>
        <v>41451.300180201521</v>
      </c>
      <c r="L116" s="19">
        <f t="shared" si="34"/>
        <v>42828.425474116084</v>
      </c>
      <c r="M116" s="19">
        <f t="shared" si="34"/>
        <v>42828.425474116084</v>
      </c>
      <c r="N116" s="19">
        <f t="shared" si="34"/>
        <v>44199.205545898832</v>
      </c>
      <c r="O116" s="19">
        <f>O115*12</f>
        <v>44199.205545898832</v>
      </c>
      <c r="P116" s="19">
        <f t="shared" ref="P116:AI116" si="35">P115*12</f>
        <v>45315.47079717397</v>
      </c>
      <c r="Q116" s="19">
        <f t="shared" si="35"/>
        <v>45315.47079717397</v>
      </c>
      <c r="R116" s="26">
        <f t="shared" si="35"/>
        <v>46716.833836929058</v>
      </c>
      <c r="S116" s="26">
        <f t="shared" si="35"/>
        <v>46716.833836929058</v>
      </c>
      <c r="T116" s="26">
        <f t="shared" si="35"/>
        <v>48119.225591867333</v>
      </c>
      <c r="U116" s="26">
        <f t="shared" si="35"/>
        <v>48119.225591867333</v>
      </c>
      <c r="V116" s="26">
        <f t="shared" si="35"/>
        <v>49527.310578258832</v>
      </c>
      <c r="W116" s="26">
        <f t="shared" si="35"/>
        <v>49527.310578258832</v>
      </c>
      <c r="X116" s="26">
        <f t="shared" si="35"/>
        <v>50949.345940534011</v>
      </c>
      <c r="Y116" s="26">
        <f t="shared" si="35"/>
        <v>50949.345940534011</v>
      </c>
      <c r="Z116" s="26">
        <f t="shared" si="35"/>
        <v>52399.878741213644</v>
      </c>
      <c r="AA116" s="26">
        <f t="shared" si="35"/>
        <v>52399.878741213644</v>
      </c>
      <c r="AB116" s="26">
        <f t="shared" si="35"/>
        <v>53905.795460972906</v>
      </c>
      <c r="AC116" s="8">
        <f t="shared" si="35"/>
        <v>53905.795460972906</v>
      </c>
      <c r="AD116" s="8">
        <f t="shared" si="35"/>
        <v>55522.436683039705</v>
      </c>
      <c r="AE116" s="8">
        <f t="shared" si="35"/>
        <v>55522.436683039705</v>
      </c>
      <c r="AH116" s="1">
        <f t="shared" si="35"/>
        <v>0</v>
      </c>
      <c r="AI116" s="1">
        <f t="shared" si="35"/>
        <v>0</v>
      </c>
    </row>
    <row r="117" spans="1:35" x14ac:dyDescent="0.35">
      <c r="A117" s="1"/>
      <c r="B117" s="1" t="s">
        <v>6</v>
      </c>
      <c r="F117" s="19">
        <f>$C$6*$C$7</f>
        <v>40064.999400000001</v>
      </c>
      <c r="G117" s="19">
        <f t="shared" ref="G117:P117" si="36">IF(G115=0,0,F119*$C$7)</f>
        <v>40125.861232141171</v>
      </c>
      <c r="H117" s="19">
        <f t="shared" si="36"/>
        <v>40191.366470907298</v>
      </c>
      <c r="I117" s="19">
        <f t="shared" si="36"/>
        <v>40160.39457698186</v>
      </c>
      <c r="J117" s="19">
        <f t="shared" si="36"/>
        <v>40127.059706255008</v>
      </c>
      <c r="K117" s="19">
        <f t="shared" si="36"/>
        <v>40026.027798843767</v>
      </c>
      <c r="L117" s="19">
        <f t="shared" si="36"/>
        <v>39917.287739842257</v>
      </c>
      <c r="M117" s="19">
        <f t="shared" si="36"/>
        <v>39695.184727725449</v>
      </c>
      <c r="N117" s="19">
        <f t="shared" si="36"/>
        <v>39456.136537298938</v>
      </c>
      <c r="O117" s="19">
        <f t="shared" si="36"/>
        <v>39094.267739033123</v>
      </c>
      <c r="P117" s="19">
        <f t="shared" si="36"/>
        <v>38704.790439410717</v>
      </c>
      <c r="Q117" s="19">
        <f>IF(Q115=0,0,P119*$C$7)</f>
        <v>38200.433671156701</v>
      </c>
      <c r="R117" s="19">
        <f>IF(R115=0,0,Q119*$C$7)</f>
        <v>37657.597391579031</v>
      </c>
      <c r="S117" s="19">
        <f t="shared" ref="S117:AI117" si="37">IF(S115=0,0,R119*$C$7)</f>
        <v>36966.429921795068</v>
      </c>
      <c r="T117" s="19">
        <f t="shared" si="37"/>
        <v>36222.530362042016</v>
      </c>
      <c r="U117" s="19">
        <f t="shared" si="37"/>
        <v>35314.881158889824</v>
      </c>
      <c r="V117" s="19">
        <f t="shared" si="37"/>
        <v>34337.98355859307</v>
      </c>
      <c r="W117" s="19">
        <f t="shared" si="37"/>
        <v>33179.125548071432</v>
      </c>
      <c r="X117" s="19">
        <f t="shared" si="37"/>
        <v>31931.853357855627</v>
      </c>
      <c r="Y117" s="19">
        <f t="shared" si="37"/>
        <v>30480.928403054197</v>
      </c>
      <c r="Z117" s="19">
        <f t="shared" si="37"/>
        <v>28919.306245910589</v>
      </c>
      <c r="AA117" s="19">
        <f t="shared" si="37"/>
        <v>27127.874045353834</v>
      </c>
      <c r="AB117" s="19">
        <f t="shared" si="37"/>
        <v>25199.765904300588</v>
      </c>
      <c r="AC117" s="19">
        <f t="shared" si="37"/>
        <v>23009.661480388284</v>
      </c>
      <c r="AD117" s="19">
        <f t="shared" si="37"/>
        <v>20652.464725641068</v>
      </c>
      <c r="AE117" s="19">
        <f t="shared" si="37"/>
        <v>17992.087061958013</v>
      </c>
      <c r="AF117" s="19"/>
      <c r="AG117" s="19"/>
      <c r="AH117" s="19">
        <f t="shared" si="37"/>
        <v>0</v>
      </c>
      <c r="AI117" s="19">
        <f t="shared" si="37"/>
        <v>0</v>
      </c>
    </row>
    <row r="118" spans="1:35" x14ac:dyDescent="0.35">
      <c r="A118" s="1"/>
      <c r="B118" s="1" t="s">
        <v>14</v>
      </c>
      <c r="F118" s="19">
        <f>F116-F117</f>
        <v>-797.72522864301573</v>
      </c>
      <c r="G118" s="19">
        <f>G116-G117</f>
        <v>-858.58706078418618</v>
      </c>
      <c r="H118" s="19">
        <f t="shared" ref="H118:N118" si="38">H116-H117</f>
        <v>405.95329279392172</v>
      </c>
      <c r="I118" s="19">
        <f t="shared" si="38"/>
        <v>436.92518671935977</v>
      </c>
      <c r="J118" s="19">
        <f t="shared" si="38"/>
        <v>1324.2404739465128</v>
      </c>
      <c r="K118" s="19">
        <f t="shared" si="38"/>
        <v>1425.2723813577541</v>
      </c>
      <c r="L118" s="19">
        <f t="shared" si="38"/>
        <v>2911.1377342738269</v>
      </c>
      <c r="M118" s="19">
        <f t="shared" si="38"/>
        <v>3133.2407463906347</v>
      </c>
      <c r="N118" s="19">
        <f t="shared" si="38"/>
        <v>4743.069008599894</v>
      </c>
      <c r="O118" s="19">
        <f>O116-O117</f>
        <v>5104.9378068657097</v>
      </c>
      <c r="P118" s="19">
        <f t="shared" ref="P118:AI118" si="39">P116-P117</f>
        <v>6610.6803577632527</v>
      </c>
      <c r="Q118" s="19">
        <f t="shared" si="39"/>
        <v>7115.0371260172687</v>
      </c>
      <c r="R118" s="19">
        <f t="shared" si="39"/>
        <v>9059.2364453500268</v>
      </c>
      <c r="S118" s="19">
        <f t="shared" si="39"/>
        <v>9750.4039151339894</v>
      </c>
      <c r="T118" s="19">
        <f t="shared" si="39"/>
        <v>11896.695229825316</v>
      </c>
      <c r="U118" s="19">
        <f t="shared" si="39"/>
        <v>12804.344432977508</v>
      </c>
      <c r="V118" s="19">
        <f t="shared" si="39"/>
        <v>15189.327019665761</v>
      </c>
      <c r="W118" s="19">
        <f t="shared" si="39"/>
        <v>16348.1850301874</v>
      </c>
      <c r="X118" s="19">
        <f t="shared" si="39"/>
        <v>19017.492582678384</v>
      </c>
      <c r="Y118" s="19">
        <f t="shared" si="39"/>
        <v>20468.417537479814</v>
      </c>
      <c r="Z118" s="19">
        <f t="shared" si="39"/>
        <v>23480.572495303055</v>
      </c>
      <c r="AA118" s="19">
        <f t="shared" si="39"/>
        <v>25272.00469585981</v>
      </c>
      <c r="AB118" s="19">
        <f t="shared" si="39"/>
        <v>28706.029556672318</v>
      </c>
      <c r="AC118" s="19">
        <f t="shared" si="39"/>
        <v>30896.133980584622</v>
      </c>
      <c r="AD118" s="19">
        <f t="shared" si="39"/>
        <v>34869.971957398637</v>
      </c>
      <c r="AE118" s="19">
        <f t="shared" si="39"/>
        <v>37530.349621081696</v>
      </c>
      <c r="AF118" s="19"/>
      <c r="AG118" s="19"/>
      <c r="AH118" s="19">
        <f t="shared" si="39"/>
        <v>0</v>
      </c>
      <c r="AI118" s="19">
        <f t="shared" si="39"/>
        <v>0</v>
      </c>
    </row>
    <row r="119" spans="1:35" x14ac:dyDescent="0.35">
      <c r="A119" s="1"/>
      <c r="B119" s="1" t="s">
        <v>8</v>
      </c>
      <c r="F119" s="19">
        <f>$C$6-F118</f>
        <v>525935.72522864304</v>
      </c>
      <c r="G119" s="19">
        <f t="shared" ref="G119:Q119" si="40">IF(G115=0,0,F119-G118)</f>
        <v>526794.31228942727</v>
      </c>
      <c r="H119" s="19">
        <f t="shared" si="40"/>
        <v>526388.35899663332</v>
      </c>
      <c r="I119" s="19">
        <f t="shared" si="40"/>
        <v>525951.43380991393</v>
      </c>
      <c r="J119" s="19">
        <f t="shared" si="40"/>
        <v>524627.19333596737</v>
      </c>
      <c r="K119" s="19">
        <f t="shared" si="40"/>
        <v>523201.92095460964</v>
      </c>
      <c r="L119" s="19">
        <f t="shared" si="40"/>
        <v>520290.78322033584</v>
      </c>
      <c r="M119" s="19">
        <f t="shared" si="40"/>
        <v>517157.54247394518</v>
      </c>
      <c r="N119" s="19">
        <f t="shared" si="40"/>
        <v>512414.47346534528</v>
      </c>
      <c r="O119" s="19">
        <f t="shared" si="40"/>
        <v>507309.53565847955</v>
      </c>
      <c r="P119" s="19">
        <f t="shared" si="40"/>
        <v>500698.8553007163</v>
      </c>
      <c r="Q119" s="19">
        <f t="shared" si="40"/>
        <v>493583.81817469903</v>
      </c>
      <c r="R119" s="19">
        <f>IF(R115=0,0,Q119-R118)</f>
        <v>484524.58172934898</v>
      </c>
      <c r="S119" s="19">
        <f t="shared" ref="S119:AI119" si="41">IF(S115=0,0,R119-S118)</f>
        <v>474774.17781421501</v>
      </c>
      <c r="T119" s="19">
        <f t="shared" si="41"/>
        <v>462877.48258438968</v>
      </c>
      <c r="U119" s="19">
        <f t="shared" si="41"/>
        <v>450073.13815141219</v>
      </c>
      <c r="V119" s="19">
        <f t="shared" si="41"/>
        <v>434883.81113174645</v>
      </c>
      <c r="W119" s="19">
        <f t="shared" si="41"/>
        <v>418535.62610155903</v>
      </c>
      <c r="X119" s="19">
        <f t="shared" si="41"/>
        <v>399518.13351888064</v>
      </c>
      <c r="Y119" s="19">
        <f t="shared" si="41"/>
        <v>379049.7159814008</v>
      </c>
      <c r="Z119" s="19">
        <f t="shared" si="41"/>
        <v>355569.14348609775</v>
      </c>
      <c r="AA119" s="19">
        <f t="shared" si="41"/>
        <v>330297.13879023795</v>
      </c>
      <c r="AB119" s="19">
        <f t="shared" si="41"/>
        <v>301591.10923356563</v>
      </c>
      <c r="AC119" s="19">
        <f t="shared" si="41"/>
        <v>270694.97525298101</v>
      </c>
      <c r="AD119" s="19">
        <f t="shared" si="41"/>
        <v>235825.00329558237</v>
      </c>
      <c r="AE119" s="19">
        <f t="shared" si="41"/>
        <v>198294.65367450067</v>
      </c>
      <c r="AF119" s="19"/>
      <c r="AG119" s="19"/>
      <c r="AH119" s="19">
        <f t="shared" si="41"/>
        <v>0</v>
      </c>
      <c r="AI119" s="19">
        <f t="shared" si="41"/>
        <v>0</v>
      </c>
    </row>
    <row r="120" spans="1:35" ht="16" thickBot="1" x14ac:dyDescent="0.4">
      <c r="A120" s="1"/>
      <c r="F120" s="19"/>
      <c r="G120" s="19"/>
      <c r="H120" s="19"/>
      <c r="I120" s="19"/>
      <c r="J120" s="19"/>
      <c r="K120" s="19"/>
      <c r="L120" s="19"/>
      <c r="M120" s="19"/>
      <c r="N120" s="19"/>
      <c r="O120" s="19"/>
      <c r="P120" s="19"/>
      <c r="Q120" s="19"/>
      <c r="R120" s="19"/>
      <c r="S120" s="19"/>
      <c r="T120" s="19"/>
      <c r="U120" s="19"/>
      <c r="V120" s="19"/>
      <c r="W120" s="19"/>
      <c r="X120" s="19"/>
      <c r="Y120" s="19"/>
    </row>
    <row r="121" spans="1:35" x14ac:dyDescent="0.35">
      <c r="A121" s="1"/>
      <c r="B121" s="85" t="s">
        <v>76</v>
      </c>
      <c r="C121" s="86"/>
      <c r="D121" s="90"/>
      <c r="F121" s="19">
        <f t="shared" ref="F121:AD121" si="42">MAX(0,F76-F77)+N("Annual income minus exemption")</f>
        <v>59945</v>
      </c>
      <c r="G121" s="19">
        <f t="shared" si="42"/>
        <v>84801.859499999991</v>
      </c>
      <c r="H121" s="19">
        <f t="shared" si="42"/>
        <v>157667.59617345</v>
      </c>
      <c r="I121" s="19">
        <f t="shared" si="42"/>
        <v>280981.93083740358</v>
      </c>
      <c r="J121" s="19">
        <f t="shared" si="42"/>
        <v>289504.57730142243</v>
      </c>
      <c r="K121" s="19">
        <f t="shared" si="42"/>
        <v>298285.24219168816</v>
      </c>
      <c r="L121" s="19">
        <f t="shared" si="42"/>
        <v>307331.72477069957</v>
      </c>
      <c r="M121" s="19">
        <f t="shared" si="42"/>
        <v>316652.0597524441</v>
      </c>
      <c r="N121" s="19">
        <f t="shared" si="42"/>
        <v>326254.52440293046</v>
      </c>
      <c r="O121" s="19">
        <f t="shared" si="42"/>
        <v>336147.64585466502</v>
      </c>
      <c r="P121" s="19">
        <f t="shared" si="42"/>
        <v>346340.20864151476</v>
      </c>
      <c r="Q121" s="19">
        <f t="shared" si="42"/>
        <v>356841.26246059133</v>
      </c>
      <c r="R121" s="19">
        <f t="shared" si="42"/>
        <v>367660.13016799197</v>
      </c>
      <c r="S121" s="19">
        <f t="shared" si="42"/>
        <v>378806.41601543763</v>
      </c>
      <c r="T121" s="19">
        <f t="shared" si="42"/>
        <v>390290.01413506101</v>
      </c>
      <c r="U121" s="19">
        <f t="shared" si="42"/>
        <v>402121.11727981595</v>
      </c>
      <c r="V121" s="19">
        <f t="shared" si="42"/>
        <v>414310.22582720325</v>
      </c>
      <c r="W121" s="19">
        <f t="shared" si="42"/>
        <v>426868.15705423988</v>
      </c>
      <c r="X121" s="19">
        <f t="shared" si="42"/>
        <v>439806.05469183833</v>
      </c>
      <c r="Y121" s="19">
        <f t="shared" si="42"/>
        <v>453135.39876700664</v>
      </c>
      <c r="Z121" s="19">
        <f t="shared" si="42"/>
        <v>466868.01574153372</v>
      </c>
      <c r="AA121" s="19">
        <f t="shared" si="42"/>
        <v>481016.08895608573</v>
      </c>
      <c r="AB121" s="19">
        <f t="shared" si="42"/>
        <v>495592.16938890622</v>
      </c>
      <c r="AC121" s="19">
        <f t="shared" si="42"/>
        <v>510609.18673859118</v>
      </c>
      <c r="AD121" s="19">
        <f t="shared" si="42"/>
        <v>526080.46084069391</v>
      </c>
      <c r="AE121" s="19"/>
      <c r="AF121" s="19"/>
      <c r="AG121" s="19"/>
      <c r="AH121" s="19">
        <f t="shared" ref="AH121:AI121" si="43">AH76-AH77+N("Annual income minus exemption")</f>
        <v>0</v>
      </c>
      <c r="AI121" s="19">
        <f t="shared" si="43"/>
        <v>0</v>
      </c>
    </row>
    <row r="122" spans="1:35" ht="16" thickBot="1" x14ac:dyDescent="0.4">
      <c r="A122" s="1"/>
      <c r="B122" s="88" t="s">
        <v>77</v>
      </c>
      <c r="C122" s="89"/>
      <c r="D122" s="93"/>
      <c r="F122" s="19">
        <f>F121*$C$11+N("Income minus poverty rate for family size multiplied by the percentage of share of income you must pay")</f>
        <v>8991.75</v>
      </c>
      <c r="G122" s="19">
        <f t="shared" ref="G122:AD122" si="44">G121*$C$11+N("Income minus exemption multiplied by the percentage of share of income you must pay")</f>
        <v>12720.278924999999</v>
      </c>
      <c r="H122" s="19">
        <f t="shared" si="44"/>
        <v>23650.1394260175</v>
      </c>
      <c r="I122" s="19">
        <f t="shared" si="44"/>
        <v>42147.289625610538</v>
      </c>
      <c r="J122" s="19">
        <f t="shared" si="44"/>
        <v>43425.686595213359</v>
      </c>
      <c r="K122" s="19">
        <f t="shared" si="44"/>
        <v>44742.786328753224</v>
      </c>
      <c r="L122" s="19">
        <f t="shared" si="44"/>
        <v>46099.758715604934</v>
      </c>
      <c r="M122" s="19">
        <f t="shared" si="44"/>
        <v>47497.808962866613</v>
      </c>
      <c r="N122" s="19">
        <f t="shared" si="44"/>
        <v>48938.178660439567</v>
      </c>
      <c r="O122" s="19">
        <f t="shared" si="44"/>
        <v>50422.146878199754</v>
      </c>
      <c r="P122" s="19">
        <f t="shared" si="44"/>
        <v>51951.031296227215</v>
      </c>
      <c r="Q122" s="19">
        <f t="shared" si="44"/>
        <v>53526.189369088701</v>
      </c>
      <c r="R122" s="19">
        <f t="shared" si="44"/>
        <v>55149.019525198797</v>
      </c>
      <c r="S122" s="19">
        <f t="shared" si="44"/>
        <v>56820.962402315643</v>
      </c>
      <c r="T122" s="19">
        <f t="shared" si="44"/>
        <v>58543.502120259152</v>
      </c>
      <c r="U122" s="19">
        <f t="shared" si="44"/>
        <v>60318.167591972393</v>
      </c>
      <c r="V122" s="19">
        <f t="shared" si="44"/>
        <v>62146.533874080487</v>
      </c>
      <c r="W122" s="19">
        <f t="shared" si="44"/>
        <v>64030.223558135978</v>
      </c>
      <c r="X122" s="19">
        <f t="shared" si="44"/>
        <v>65970.908203775747</v>
      </c>
      <c r="Y122" s="19">
        <f t="shared" si="44"/>
        <v>67970.30981505099</v>
      </c>
      <c r="Z122" s="19">
        <f t="shared" si="44"/>
        <v>70030.202361230055</v>
      </c>
      <c r="AA122" s="19">
        <f t="shared" si="44"/>
        <v>72152.41334341286</v>
      </c>
      <c r="AB122" s="19">
        <f t="shared" si="44"/>
        <v>74338.825408335935</v>
      </c>
      <c r="AC122" s="19">
        <f t="shared" si="44"/>
        <v>76591.378010788671</v>
      </c>
      <c r="AD122" s="19">
        <f t="shared" si="44"/>
        <v>78912.069126104077</v>
      </c>
      <c r="AE122" s="19"/>
      <c r="AF122" s="19"/>
      <c r="AG122" s="19"/>
      <c r="AH122" s="19"/>
      <c r="AI122" s="19"/>
    </row>
    <row r="123" spans="1:35" x14ac:dyDescent="0.35">
      <c r="A123" s="1"/>
      <c r="C123" s="91"/>
      <c r="E123" s="95" t="s">
        <v>79</v>
      </c>
      <c r="F123" s="14">
        <f t="shared" ref="F123:N123" si="45">MAX(0,F121*0.1)</f>
        <v>5994.5</v>
      </c>
      <c r="G123" s="14">
        <f t="shared" si="45"/>
        <v>8480.1859499999991</v>
      </c>
      <c r="H123" s="14">
        <f t="shared" si="45"/>
        <v>15766.759617345</v>
      </c>
      <c r="I123" s="14">
        <f t="shared" si="45"/>
        <v>28098.19308374036</v>
      </c>
      <c r="J123" s="14">
        <f t="shared" si="45"/>
        <v>28950.457730142243</v>
      </c>
      <c r="K123" s="14">
        <f t="shared" si="45"/>
        <v>29828.524219168816</v>
      </c>
      <c r="L123" s="14">
        <f t="shared" si="45"/>
        <v>30733.172477069958</v>
      </c>
      <c r="M123" s="14">
        <f t="shared" si="45"/>
        <v>31665.205975244411</v>
      </c>
      <c r="N123" s="14">
        <f t="shared" si="45"/>
        <v>32625.452440293047</v>
      </c>
      <c r="O123" s="14">
        <f t="shared" ref="O123:AD123" si="46">MAX(0,O121*0.1)</f>
        <v>33614.764585466502</v>
      </c>
      <c r="P123" s="14">
        <f t="shared" si="46"/>
        <v>34634.020864151476</v>
      </c>
      <c r="Q123" s="14">
        <f t="shared" si="46"/>
        <v>35684.126246059132</v>
      </c>
      <c r="R123" s="14">
        <f t="shared" si="46"/>
        <v>36766.013016799196</v>
      </c>
      <c r="S123" s="14">
        <f t="shared" si="46"/>
        <v>37880.641601543764</v>
      </c>
      <c r="T123" s="14">
        <f t="shared" si="46"/>
        <v>39029.001413506099</v>
      </c>
      <c r="U123" s="193">
        <f t="shared" si="46"/>
        <v>40212.111727981595</v>
      </c>
      <c r="V123" s="14">
        <f t="shared" si="46"/>
        <v>41431.022582720325</v>
      </c>
      <c r="W123" s="14">
        <f t="shared" si="46"/>
        <v>42686.815705423993</v>
      </c>
      <c r="X123" s="14">
        <f t="shared" si="46"/>
        <v>43980.605469183836</v>
      </c>
      <c r="Y123" s="14">
        <f t="shared" si="46"/>
        <v>45313.53987670067</v>
      </c>
      <c r="Z123" s="14">
        <f t="shared" si="46"/>
        <v>46686.801574153375</v>
      </c>
      <c r="AA123" s="14">
        <f t="shared" si="46"/>
        <v>48101.608895608573</v>
      </c>
      <c r="AB123" s="14">
        <f t="shared" si="46"/>
        <v>49559.216938890626</v>
      </c>
      <c r="AC123" s="14">
        <f t="shared" si="46"/>
        <v>51060.918673859123</v>
      </c>
      <c r="AD123" s="14">
        <f t="shared" si="46"/>
        <v>52608.046084069392</v>
      </c>
    </row>
    <row r="124" spans="1:35" x14ac:dyDescent="0.35">
      <c r="A124" s="1"/>
      <c r="B124" s="9"/>
      <c r="C124" s="91"/>
      <c r="E124" s="96" t="s">
        <v>52</v>
      </c>
      <c r="F124" s="80">
        <f>$D$85*$C$7</f>
        <v>40064.999400000001</v>
      </c>
      <c r="G124" s="80">
        <f t="shared" ref="G124:AD124" si="47">$D$85*$C$7</f>
        <v>40064.999400000001</v>
      </c>
      <c r="H124" s="80">
        <f t="shared" si="47"/>
        <v>40064.999400000001</v>
      </c>
      <c r="I124" s="80">
        <f t="shared" si="47"/>
        <v>40064.999400000001</v>
      </c>
      <c r="J124" s="80">
        <f t="shared" si="47"/>
        <v>40064.999400000001</v>
      </c>
      <c r="K124" s="80">
        <f t="shared" si="47"/>
        <v>40064.999400000001</v>
      </c>
      <c r="L124" s="80">
        <f t="shared" si="47"/>
        <v>40064.999400000001</v>
      </c>
      <c r="M124" s="80">
        <f t="shared" si="47"/>
        <v>40064.999400000001</v>
      </c>
      <c r="N124" s="80">
        <f t="shared" si="47"/>
        <v>40064.999400000001</v>
      </c>
      <c r="O124" s="80">
        <f t="shared" si="47"/>
        <v>40064.999400000001</v>
      </c>
      <c r="P124" s="80">
        <f t="shared" si="47"/>
        <v>40064.999400000001</v>
      </c>
      <c r="Q124" s="80">
        <f t="shared" si="47"/>
        <v>40064.999400000001</v>
      </c>
      <c r="R124" s="80">
        <f t="shared" si="47"/>
        <v>40064.999400000001</v>
      </c>
      <c r="S124" s="80">
        <f t="shared" si="47"/>
        <v>40064.999400000001</v>
      </c>
      <c r="T124" s="80">
        <f t="shared" si="47"/>
        <v>40064.999400000001</v>
      </c>
      <c r="U124" s="194">
        <f t="shared" si="47"/>
        <v>40064.999400000001</v>
      </c>
      <c r="V124" s="80">
        <f t="shared" si="47"/>
        <v>40064.999400000001</v>
      </c>
      <c r="W124" s="80">
        <f t="shared" si="47"/>
        <v>40064.999400000001</v>
      </c>
      <c r="X124" s="80">
        <f t="shared" si="47"/>
        <v>40064.999400000001</v>
      </c>
      <c r="Y124" s="80">
        <f t="shared" si="47"/>
        <v>40064.999400000001</v>
      </c>
      <c r="Z124" s="80">
        <f t="shared" si="47"/>
        <v>40064.999400000001</v>
      </c>
      <c r="AA124" s="80">
        <f t="shared" si="47"/>
        <v>40064.999400000001</v>
      </c>
      <c r="AB124" s="80">
        <f t="shared" si="47"/>
        <v>40064.999400000001</v>
      </c>
      <c r="AC124" s="80">
        <f t="shared" si="47"/>
        <v>40064.999400000001</v>
      </c>
      <c r="AD124" s="80">
        <f t="shared" si="47"/>
        <v>40064.999400000001</v>
      </c>
    </row>
    <row r="125" spans="1:35" x14ac:dyDescent="0.35">
      <c r="A125" s="1"/>
      <c r="C125" s="91"/>
      <c r="E125" s="96" t="s">
        <v>81</v>
      </c>
      <c r="F125" s="14">
        <f>((($C$22*$C$7)-((F127*12)*C28))/2)+N("CNAPP equals the annual interest on unsubs minus the the percentage of the annual IBR payment that would be put towards unsubs")</f>
        <v>15110.869665221715</v>
      </c>
      <c r="G125" s="19">
        <f>IF(
F125=-$C$6+N("IF the principal payment from the previous year equals the original loan balance then"),
0+N("The CAN/PP euals zero, because you have paid of the loan")+N("if CAN/PP does not equal the original loan balance, then..."),
IF(
$C$7=0+N("If the interest rate is zero, then"),
(-(G127*12))+F125+N("CNAPP equals the last year's CNAPP minus whatever the annual IBR payment was")+N("If the interest rate is not zero, then..."),
IF(
G124=0+N("If the annual interest paid equals zero, then..."),
0+N("CNAPP equals zero")+N("If the annual interest rate does not equal zero, then..."),
((($C$22*$C$7)-((G127*12)*$C$28)))/2)+F125+N("CNAPP equals the previous CNAPP plus the annual interest on unsubs minus the the percentage of the annual IBR payment that would be put towards unsubs")))</f>
        <v>29119.293605238629</v>
      </c>
      <c r="H125" s="19">
        <f>IF(
G125=-$C$6+N("IF the principal payment from the previous year equals the original loan balance then"),
0+N("The CAN/PP euals zero, because you have paid of the loan")+N("if CAN/PP does not equal the original loan balance, then..."),
IF(
$C$7=0+N("If the interest rate is zero, then"),
(-(H127*12))+G125+N("CNAPP equals the last year's CNAPP minus whatever the annual IBR payment was")+N("If the interest rate is not zero, then..."),
IF(
H124=0+N("If the annual interest paid equals zero, then..."),
0+N("CNAPP equals zero")+N("If the annual interest rate does not equal zero, then..."),
((($C$22*$C$7)-((H127*12)*$C$28)))/2)+G125+N("CNAPP equals the previous CNAPP plus the annual interest on unsubs minus the the percentage of the annual IBR payment that would be put towards unsubs")))</f>
        <v>39895.993122886583</v>
      </c>
      <c r="I125" s="19">
        <f>IF(
H125=-$C6+N("IF the principal payment from the previous year equals the original loan balance then"),
0+N("The CAN/PP euals zero, because you have paid of the loan")+N("if CAN/PP does not equal the original loan balance, then..."),
IF(
$C7=0+N("If the interest rate is zero, then"),
(-(I127*12))+H125+N("CNAPP equals the last year's CNAPP minus whatever the annual IBR payment was")+N("If the interest rate is not zero, then..."),
IF(
I124=0+N("If the annual interest paid equals zero, then..."),
0+N("CNAPP equals zero")+N("If the annual interest rate does not equal zero, then..."),
(I124-(I127*12))/2)+H125+N("CNAPP equals the previous CNAPP plus the annual interest minus the annual IBR payment")))</f>
        <v>45879.396281016401</v>
      </c>
      <c r="J125" s="19">
        <f>IF(
I125=-$C6+N("IF the principal payment from the previous year equals the original loan balance then"),
0+N("The CAN/PP euals zero, because you have paid of the loan")+N("if CAN/PP does not equal the original loan balance, then..."),
IF(
$C7=0+N("If the interest rate is zero, then"),
(-(J127*12))+I125+N("CNAPP equals the last year's CNAPP minus whatever the annual IBR payment was")+N("If the interest rate is not zero, then..."),
IF(
J124=0+N("If the annual interest paid equals zero, then..."),
0+N("CNAPP equals zero")+N("If the annual interest rate does not equal zero, then..."),
(J124-(J127*12))/2)+I125+N("CNAPP equals the previous CNAPP plus the annual interest minus the annual IBR payment")))</f>
        <v>51436.667115945282</v>
      </c>
      <c r="K125" s="19">
        <f t="shared" ref="K125:AD125" si="48">IF(
J125=-$C6+N("IF the principal payment from the previous year equals the original loan balance then"),
0+N("The CAN/PP euals zero, because you have paid of the loan")+N("if CAN/PP does not equal the original loan balance, then..."),
IF(
$C7=0+N("If the interest rate is zero, then"),
(-(K127*12))+J125+N("CNAPP equals the last year's CNAPP minus whatever the annual IBR payment was")+N("If the interest rate is not zero, then..."),
IF(
K124=0+N("If the annual interest paid equals zero, then..."),
0+N("CNAPP equals zero")+N("If the annual interest rate does not equal zero, then..."),
(K124-(K127*12))/2)+J125+N("CNAPP equals the previous CNAPP plus the annual interest minus the annual IBR payment")))</f>
        <v>56554.904706360874</v>
      </c>
      <c r="L125" s="19">
        <f t="shared" si="48"/>
        <v>61220.818167825899</v>
      </c>
      <c r="M125" s="19">
        <f t="shared" si="48"/>
        <v>65420.714880203697</v>
      </c>
      <c r="N125" s="19">
        <f t="shared" si="48"/>
        <v>69140.488360057177</v>
      </c>
      <c r="O125" s="19">
        <f t="shared" si="48"/>
        <v>72365.605767323927</v>
      </c>
      <c r="P125" s="19">
        <f t="shared" si="48"/>
        <v>75081.095035248189</v>
      </c>
      <c r="Q125" s="19">
        <f t="shared" si="48"/>
        <v>77271.53161221862</v>
      </c>
      <c r="R125" s="19">
        <f t="shared" si="48"/>
        <v>78921.024803819018</v>
      </c>
      <c r="S125" s="19">
        <f t="shared" si="48"/>
        <v>80013.20370304714</v>
      </c>
      <c r="T125" s="19">
        <f t="shared" si="48"/>
        <v>80531.202696294087</v>
      </c>
      <c r="U125" s="19">
        <f t="shared" si="48"/>
        <v>80457.64653230329</v>
      </c>
      <c r="V125" s="19">
        <f t="shared" si="48"/>
        <v>79774.634940943128</v>
      </c>
      <c r="W125" s="19">
        <f t="shared" si="48"/>
        <v>78463.726788231128</v>
      </c>
      <c r="X125" s="19">
        <f t="shared" si="48"/>
        <v>76505.923753639217</v>
      </c>
      <c r="Y125" s="19">
        <f t="shared" si="48"/>
        <v>73881.653515288883</v>
      </c>
      <c r="Z125" s="19">
        <f t="shared" si="48"/>
        <v>70570.752428212203</v>
      </c>
      <c r="AA125" s="19">
        <f t="shared" si="48"/>
        <v>66552.447680407917</v>
      </c>
      <c r="AB125" s="19">
        <f t="shared" si="48"/>
        <v>61805.3389109626</v>
      </c>
      <c r="AC125" s="19">
        <f t="shared" si="48"/>
        <v>56307.379274033039</v>
      </c>
      <c r="AD125" s="19">
        <f t="shared" si="48"/>
        <v>50035.85593199834</v>
      </c>
    </row>
    <row r="126" spans="1:35" x14ac:dyDescent="0.35">
      <c r="A126" s="1"/>
      <c r="C126" s="91"/>
      <c r="E126" s="96" t="s">
        <v>82</v>
      </c>
      <c r="F126" s="19">
        <f>$C$6+F125</f>
        <v>540248.86966522166</v>
      </c>
      <c r="G126" s="19">
        <f t="shared" ref="G126:AD126" si="49">$C$6+G125</f>
        <v>554257.29360523866</v>
      </c>
      <c r="H126" s="19">
        <f t="shared" si="49"/>
        <v>565033.99312288663</v>
      </c>
      <c r="I126" s="19">
        <f t="shared" si="49"/>
        <v>571017.39628101641</v>
      </c>
      <c r="J126" s="19">
        <f t="shared" si="49"/>
        <v>576574.66711594525</v>
      </c>
      <c r="K126" s="19">
        <f t="shared" si="49"/>
        <v>581692.90470636089</v>
      </c>
      <c r="L126" s="19">
        <f t="shared" si="49"/>
        <v>586358.81816782593</v>
      </c>
      <c r="M126" s="19">
        <f t="shared" si="49"/>
        <v>590558.71488020371</v>
      </c>
      <c r="N126" s="19">
        <f t="shared" si="49"/>
        <v>594278.48836005712</v>
      </c>
      <c r="O126" s="19">
        <f t="shared" si="49"/>
        <v>597503.60576732387</v>
      </c>
      <c r="P126" s="19">
        <f t="shared" si="49"/>
        <v>600219.0950352482</v>
      </c>
      <c r="Q126" s="19">
        <f t="shared" si="49"/>
        <v>602409.53161221859</v>
      </c>
      <c r="R126" s="19">
        <f t="shared" si="49"/>
        <v>604059.02480381902</v>
      </c>
      <c r="S126" s="19">
        <f t="shared" si="49"/>
        <v>605151.20370304713</v>
      </c>
      <c r="T126" s="19">
        <f t="shared" si="49"/>
        <v>605669.20269629406</v>
      </c>
      <c r="U126" s="19">
        <f t="shared" si="49"/>
        <v>605595.6465323033</v>
      </c>
      <c r="V126" s="19">
        <f t="shared" si="49"/>
        <v>604912.6349409431</v>
      </c>
      <c r="W126" s="19">
        <f t="shared" si="49"/>
        <v>603601.72678823117</v>
      </c>
      <c r="X126" s="19">
        <f t="shared" si="49"/>
        <v>601643.92375363922</v>
      </c>
      <c r="Y126" s="19">
        <f t="shared" si="49"/>
        <v>599019.65351528884</v>
      </c>
      <c r="Z126" s="19">
        <f t="shared" si="49"/>
        <v>595708.7524282122</v>
      </c>
      <c r="AA126" s="19">
        <f t="shared" si="49"/>
        <v>591690.4476804079</v>
      </c>
      <c r="AB126" s="19">
        <f t="shared" si="49"/>
        <v>586943.33891096257</v>
      </c>
      <c r="AC126" s="19">
        <f t="shared" si="49"/>
        <v>581445.37927403301</v>
      </c>
      <c r="AD126" s="19">
        <f t="shared" si="49"/>
        <v>575173.85593199835</v>
      </c>
    </row>
    <row r="127" spans="1:35" ht="16" thickBot="1" x14ac:dyDescent="0.4">
      <c r="A127" s="1"/>
      <c r="C127" s="88"/>
      <c r="D127" s="89"/>
      <c r="E127" s="109" t="s">
        <v>83</v>
      </c>
      <c r="F127" s="14">
        <f t="shared" ref="F127:K127" si="50">MAX(0,(F121*0.1)/12)</f>
        <v>499.54166666666669</v>
      </c>
      <c r="G127" s="14">
        <f t="shared" si="50"/>
        <v>706.68216249999989</v>
      </c>
      <c r="H127" s="14">
        <f t="shared" si="50"/>
        <v>1313.89663477875</v>
      </c>
      <c r="I127" s="14">
        <f t="shared" si="50"/>
        <v>2341.5160903116966</v>
      </c>
      <c r="J127" s="14">
        <f t="shared" si="50"/>
        <v>2412.5381441785203</v>
      </c>
      <c r="K127" s="14">
        <f t="shared" si="50"/>
        <v>2485.7103515974013</v>
      </c>
      <c r="L127" s="14">
        <f t="shared" ref="L127:AD127" si="51">MAX(0,(L121*0.1)/12)</f>
        <v>2561.0977064224967</v>
      </c>
      <c r="M127" s="14">
        <f t="shared" si="51"/>
        <v>2638.7671646037011</v>
      </c>
      <c r="N127" s="14">
        <f t="shared" si="51"/>
        <v>2718.7877033577538</v>
      </c>
      <c r="O127" s="14">
        <f t="shared" si="51"/>
        <v>2801.2303821222085</v>
      </c>
      <c r="P127" s="14">
        <f t="shared" si="51"/>
        <v>2886.1684053459562</v>
      </c>
      <c r="Q127" s="14">
        <f t="shared" si="51"/>
        <v>2973.6771871715941</v>
      </c>
      <c r="R127" s="14">
        <f t="shared" si="51"/>
        <v>3063.8344180665995</v>
      </c>
      <c r="S127" s="14">
        <f t="shared" si="51"/>
        <v>3156.7201334619804</v>
      </c>
      <c r="T127" s="14">
        <f t="shared" si="51"/>
        <v>3252.4167844588414</v>
      </c>
      <c r="U127" s="14">
        <f t="shared" si="51"/>
        <v>3351.0093106651329</v>
      </c>
      <c r="V127" s="14">
        <f t="shared" si="51"/>
        <v>3452.5852152266939</v>
      </c>
      <c r="W127" s="14">
        <f t="shared" si="51"/>
        <v>3557.2346421186662</v>
      </c>
      <c r="X127" s="14">
        <f t="shared" si="51"/>
        <v>3665.0504557653198</v>
      </c>
      <c r="Y127" s="14">
        <f t="shared" si="51"/>
        <v>3776.128323058389</v>
      </c>
      <c r="Z127" s="14">
        <f t="shared" si="51"/>
        <v>3890.5667978461147</v>
      </c>
      <c r="AA127" s="14">
        <f t="shared" si="51"/>
        <v>4008.467407967381</v>
      </c>
      <c r="AB127" s="14">
        <f t="shared" si="51"/>
        <v>4129.9347449075522</v>
      </c>
      <c r="AC127" s="14">
        <f t="shared" si="51"/>
        <v>4255.0765561549269</v>
      </c>
      <c r="AD127" s="14">
        <f t="shared" si="51"/>
        <v>4384.0038403391163</v>
      </c>
    </row>
    <row r="128" spans="1:35" x14ac:dyDescent="0.35">
      <c r="A128" s="1"/>
      <c r="B128" s="29"/>
      <c r="C128" s="277"/>
      <c r="D128" s="277"/>
      <c r="E128" s="27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row>
    <row r="129" spans="1:30" x14ac:dyDescent="0.35">
      <c r="A129" s="1"/>
      <c r="C129" s="275"/>
      <c r="D129" s="275"/>
      <c r="E129" s="275"/>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row>
    <row r="130" spans="1:30" x14ac:dyDescent="0.35">
      <c r="A130" s="1"/>
      <c r="D130" s="21"/>
      <c r="E130" s="73" t="s">
        <v>138</v>
      </c>
      <c r="F130" s="27">
        <v>1</v>
      </c>
      <c r="G130" s="27">
        <f>F130+1</f>
        <v>2</v>
      </c>
      <c r="H130" s="27">
        <f t="shared" ref="H130:AD130" si="52">G130+1</f>
        <v>3</v>
      </c>
      <c r="I130" s="27">
        <f t="shared" si="52"/>
        <v>4</v>
      </c>
      <c r="J130" s="27">
        <f t="shared" si="52"/>
        <v>5</v>
      </c>
      <c r="K130" s="27">
        <f t="shared" si="52"/>
        <v>6</v>
      </c>
      <c r="L130" s="27">
        <f t="shared" si="52"/>
        <v>7</v>
      </c>
      <c r="M130" s="27">
        <f t="shared" si="52"/>
        <v>8</v>
      </c>
      <c r="N130" s="27">
        <f t="shared" si="52"/>
        <v>9</v>
      </c>
      <c r="O130" s="27">
        <f t="shared" si="52"/>
        <v>10</v>
      </c>
      <c r="P130" s="27">
        <f t="shared" si="52"/>
        <v>11</v>
      </c>
      <c r="Q130" s="27">
        <f t="shared" si="52"/>
        <v>12</v>
      </c>
      <c r="R130" s="27">
        <f t="shared" si="52"/>
        <v>13</v>
      </c>
      <c r="S130" s="27">
        <f t="shared" si="52"/>
        <v>14</v>
      </c>
      <c r="T130" s="27">
        <f t="shared" si="52"/>
        <v>15</v>
      </c>
      <c r="U130" s="27">
        <f t="shared" si="52"/>
        <v>16</v>
      </c>
      <c r="V130" s="27">
        <f t="shared" si="52"/>
        <v>17</v>
      </c>
      <c r="W130" s="27">
        <f t="shared" si="52"/>
        <v>18</v>
      </c>
      <c r="X130" s="27">
        <f t="shared" si="52"/>
        <v>19</v>
      </c>
      <c r="Y130" s="27">
        <f t="shared" si="52"/>
        <v>20</v>
      </c>
      <c r="Z130" s="27">
        <f t="shared" si="52"/>
        <v>21</v>
      </c>
      <c r="AA130" s="27">
        <f t="shared" si="52"/>
        <v>22</v>
      </c>
      <c r="AB130" s="27">
        <f t="shared" si="52"/>
        <v>23</v>
      </c>
      <c r="AC130" s="27">
        <f t="shared" si="52"/>
        <v>24</v>
      </c>
      <c r="AD130" s="27">
        <f t="shared" si="52"/>
        <v>25</v>
      </c>
    </row>
    <row r="131" spans="1:30" x14ac:dyDescent="0.35">
      <c r="A131" s="1"/>
      <c r="D131" s="70"/>
      <c r="E131" s="70" t="s">
        <v>152</v>
      </c>
      <c r="F131" s="8">
        <f>F76</f>
        <v>77600</v>
      </c>
      <c r="G131" s="8">
        <f t="shared" ref="G131:AD131" si="53">G76</f>
        <v>102900</v>
      </c>
      <c r="H131" s="8">
        <f t="shared" si="53"/>
        <v>176220</v>
      </c>
      <c r="I131" s="8">
        <f t="shared" si="53"/>
        <v>300000</v>
      </c>
      <c r="J131" s="8">
        <f t="shared" si="53"/>
        <v>309000</v>
      </c>
      <c r="K131" s="8">
        <f t="shared" si="53"/>
        <v>318270</v>
      </c>
      <c r="L131" s="8">
        <f t="shared" si="53"/>
        <v>327818.10000000003</v>
      </c>
      <c r="M131" s="8">
        <f t="shared" si="53"/>
        <v>337652.64300000004</v>
      </c>
      <c r="N131" s="8">
        <f t="shared" si="53"/>
        <v>347782.22229000006</v>
      </c>
      <c r="O131" s="8">
        <f t="shared" si="53"/>
        <v>358215.68895870005</v>
      </c>
      <c r="P131" s="8">
        <f t="shared" si="53"/>
        <v>368962.15962746105</v>
      </c>
      <c r="Q131" s="8">
        <f t="shared" si="53"/>
        <v>380031.02441628487</v>
      </c>
      <c r="R131" s="8">
        <f t="shared" si="53"/>
        <v>391431.95514877344</v>
      </c>
      <c r="S131" s="8">
        <f t="shared" si="53"/>
        <v>403174.91380323668</v>
      </c>
      <c r="T131" s="8">
        <f t="shared" si="53"/>
        <v>415270.16121733381</v>
      </c>
      <c r="U131" s="8">
        <f t="shared" si="53"/>
        <v>427728.26605385385</v>
      </c>
      <c r="V131" s="8">
        <f t="shared" si="53"/>
        <v>440560.11403546948</v>
      </c>
      <c r="W131" s="8">
        <f t="shared" si="53"/>
        <v>453776.91745653359</v>
      </c>
      <c r="X131" s="8">
        <f t="shared" si="53"/>
        <v>467390.22498022963</v>
      </c>
      <c r="Y131" s="8">
        <f t="shared" si="53"/>
        <v>481411.9317296365</v>
      </c>
      <c r="Z131" s="8">
        <f t="shared" si="53"/>
        <v>495854.28968152561</v>
      </c>
      <c r="AA131" s="8">
        <f t="shared" si="53"/>
        <v>510729.91837197141</v>
      </c>
      <c r="AB131" s="8">
        <f t="shared" si="53"/>
        <v>526051.81592313061</v>
      </c>
      <c r="AC131" s="8">
        <f t="shared" si="53"/>
        <v>541833.37040082458</v>
      </c>
      <c r="AD131" s="8">
        <f t="shared" si="53"/>
        <v>558088.37151284935</v>
      </c>
    </row>
    <row r="132" spans="1:30" x14ac:dyDescent="0.35">
      <c r="A132" s="1"/>
      <c r="D132" s="8"/>
      <c r="E132" s="8" t="s">
        <v>84</v>
      </c>
      <c r="F132" s="8">
        <f>F123</f>
        <v>5994.5</v>
      </c>
      <c r="G132" s="8">
        <f t="shared" ref="G132:AD132" si="54">G123</f>
        <v>8480.1859499999991</v>
      </c>
      <c r="H132" s="8">
        <f t="shared" si="54"/>
        <v>15766.759617345</v>
      </c>
      <c r="I132" s="8">
        <f t="shared" si="54"/>
        <v>28098.19308374036</v>
      </c>
      <c r="J132" s="8">
        <f t="shared" si="54"/>
        <v>28950.457730142243</v>
      </c>
      <c r="K132" s="8">
        <f t="shared" si="54"/>
        <v>29828.524219168816</v>
      </c>
      <c r="L132" s="8">
        <f t="shared" si="54"/>
        <v>30733.172477069958</v>
      </c>
      <c r="M132" s="8">
        <f t="shared" si="54"/>
        <v>31665.205975244411</v>
      </c>
      <c r="N132" s="8">
        <f t="shared" si="54"/>
        <v>32625.452440293047</v>
      </c>
      <c r="O132" s="8">
        <f t="shared" si="54"/>
        <v>33614.764585466502</v>
      </c>
      <c r="P132" s="8">
        <f t="shared" si="54"/>
        <v>34634.020864151476</v>
      </c>
      <c r="Q132" s="8">
        <f t="shared" si="54"/>
        <v>35684.126246059132</v>
      </c>
      <c r="R132" s="8">
        <f t="shared" si="54"/>
        <v>36766.013016799196</v>
      </c>
      <c r="S132" s="8">
        <f t="shared" si="54"/>
        <v>37880.641601543764</v>
      </c>
      <c r="T132" s="8">
        <f t="shared" si="54"/>
        <v>39029.001413506099</v>
      </c>
      <c r="U132" s="8">
        <f t="shared" si="54"/>
        <v>40212.111727981595</v>
      </c>
      <c r="V132" s="8">
        <f t="shared" si="54"/>
        <v>41431.022582720325</v>
      </c>
      <c r="W132" s="8">
        <f t="shared" si="54"/>
        <v>42686.815705423993</v>
      </c>
      <c r="X132" s="8">
        <f t="shared" si="54"/>
        <v>43980.605469183836</v>
      </c>
      <c r="Y132" s="8">
        <f t="shared" si="54"/>
        <v>45313.53987670067</v>
      </c>
      <c r="Z132" s="8">
        <f t="shared" si="54"/>
        <v>46686.801574153375</v>
      </c>
      <c r="AA132" s="8">
        <f t="shared" si="54"/>
        <v>48101.608895608573</v>
      </c>
      <c r="AB132" s="8">
        <f t="shared" si="54"/>
        <v>49559.216938890626</v>
      </c>
      <c r="AC132" s="8">
        <f t="shared" si="54"/>
        <v>51060.918673859123</v>
      </c>
      <c r="AD132" s="8">
        <f t="shared" si="54"/>
        <v>52608.046084069392</v>
      </c>
    </row>
    <row r="133" spans="1:30" x14ac:dyDescent="0.35">
      <c r="A133" s="1"/>
      <c r="D133" s="8"/>
      <c r="E133" s="8" t="s">
        <v>156</v>
      </c>
      <c r="F133" s="8">
        <f>F131-F132</f>
        <v>71605.5</v>
      </c>
      <c r="G133" s="8">
        <f t="shared" ref="G133:AD133" si="55">G131-G132</f>
        <v>94419.814050000001</v>
      </c>
      <c r="H133" s="8">
        <f t="shared" si="55"/>
        <v>160453.240382655</v>
      </c>
      <c r="I133" s="8">
        <f t="shared" si="55"/>
        <v>271901.80691625964</v>
      </c>
      <c r="J133" s="8">
        <f t="shared" si="55"/>
        <v>280049.54226985777</v>
      </c>
      <c r="K133" s="8">
        <f t="shared" si="55"/>
        <v>288441.47578083118</v>
      </c>
      <c r="L133" s="8">
        <f t="shared" si="55"/>
        <v>297084.92752293008</v>
      </c>
      <c r="M133" s="8">
        <f t="shared" si="55"/>
        <v>305987.43702475564</v>
      </c>
      <c r="N133" s="8">
        <f t="shared" si="55"/>
        <v>315156.76984970702</v>
      </c>
      <c r="O133" s="8">
        <f t="shared" si="55"/>
        <v>324600.92437323357</v>
      </c>
      <c r="P133" s="8">
        <f t="shared" si="55"/>
        <v>334328.13876330957</v>
      </c>
      <c r="Q133" s="8">
        <f t="shared" si="55"/>
        <v>344346.89817022573</v>
      </c>
      <c r="R133" s="8">
        <f t="shared" si="55"/>
        <v>354665.94213197427</v>
      </c>
      <c r="S133" s="8">
        <f t="shared" si="55"/>
        <v>365294.27220169292</v>
      </c>
      <c r="T133" s="8">
        <f t="shared" si="55"/>
        <v>376241.1598038277</v>
      </c>
      <c r="U133" s="8">
        <f t="shared" si="55"/>
        <v>387516.15432587225</v>
      </c>
      <c r="V133" s="8">
        <f t="shared" si="55"/>
        <v>399129.09145274915</v>
      </c>
      <c r="W133" s="8">
        <f t="shared" si="55"/>
        <v>411090.10175110959</v>
      </c>
      <c r="X133" s="8">
        <f t="shared" si="55"/>
        <v>423409.61951104581</v>
      </c>
      <c r="Y133" s="8">
        <f t="shared" si="55"/>
        <v>436098.39185293583</v>
      </c>
      <c r="Z133" s="8">
        <f t="shared" si="55"/>
        <v>449167.48810737225</v>
      </c>
      <c r="AA133" s="8">
        <f t="shared" si="55"/>
        <v>462628.30947636283</v>
      </c>
      <c r="AB133" s="8">
        <f t="shared" si="55"/>
        <v>476492.59898423997</v>
      </c>
      <c r="AC133" s="8">
        <f t="shared" si="55"/>
        <v>490772.45172696549</v>
      </c>
      <c r="AD133" s="8">
        <f t="shared" si="55"/>
        <v>505480.32542877994</v>
      </c>
    </row>
    <row r="134" spans="1:30" x14ac:dyDescent="0.35">
      <c r="A134" s="1"/>
      <c r="D134" s="22"/>
      <c r="E134" s="8" t="s">
        <v>106</v>
      </c>
      <c r="F134" s="8">
        <f>F82</f>
        <v>8991.75</v>
      </c>
      <c r="G134" s="8">
        <f t="shared" ref="G134:AD134" si="56">G82</f>
        <v>12720.278924999999</v>
      </c>
      <c r="H134" s="8">
        <f t="shared" si="56"/>
        <v>23650.1394260175</v>
      </c>
      <c r="I134" s="8">
        <f t="shared" si="56"/>
        <v>42147.289625610538</v>
      </c>
      <c r="J134" s="8">
        <f t="shared" si="56"/>
        <v>43425.686595213359</v>
      </c>
      <c r="K134" s="8">
        <f t="shared" si="56"/>
        <v>44742.786328753224</v>
      </c>
      <c r="L134" s="8">
        <f t="shared" si="56"/>
        <v>46099.758715604934</v>
      </c>
      <c r="M134" s="8">
        <f t="shared" si="56"/>
        <v>47497.808962866613</v>
      </c>
      <c r="N134" s="8">
        <f t="shared" si="56"/>
        <v>48938.178660439567</v>
      </c>
      <c r="O134" s="8">
        <f t="shared" si="56"/>
        <v>50422.146878199754</v>
      </c>
      <c r="P134" s="8">
        <f t="shared" si="56"/>
        <v>51951.031296227215</v>
      </c>
      <c r="Q134" s="8">
        <f t="shared" si="56"/>
        <v>53526.189369088694</v>
      </c>
      <c r="R134" s="8">
        <f t="shared" si="56"/>
        <v>55149.01952519879</v>
      </c>
      <c r="S134" s="8">
        <f t="shared" si="56"/>
        <v>56820.96240231565</v>
      </c>
      <c r="T134" s="8">
        <f t="shared" si="56"/>
        <v>58543.502120259145</v>
      </c>
      <c r="U134" s="8">
        <f t="shared" si="56"/>
        <v>60318.167591972393</v>
      </c>
      <c r="V134" s="8">
        <f t="shared" si="56"/>
        <v>62146.533874080487</v>
      </c>
      <c r="W134" s="8">
        <f t="shared" si="56"/>
        <v>64030.223558135978</v>
      </c>
      <c r="X134" s="8">
        <f t="shared" si="56"/>
        <v>65970.908203775747</v>
      </c>
      <c r="Y134" s="8">
        <f t="shared" si="56"/>
        <v>67970.30981505099</v>
      </c>
      <c r="Z134" s="8">
        <f t="shared" si="56"/>
        <v>70030.202361230055</v>
      </c>
      <c r="AA134" s="8">
        <f t="shared" si="56"/>
        <v>72152.41334341286</v>
      </c>
      <c r="AB134" s="8">
        <f t="shared" si="56"/>
        <v>74338.825408335935</v>
      </c>
      <c r="AC134" s="8">
        <f t="shared" si="56"/>
        <v>75228.125237483313</v>
      </c>
      <c r="AD134" s="8">
        <f t="shared" si="56"/>
        <v>75228.125237483313</v>
      </c>
    </row>
    <row r="135" spans="1:30" x14ac:dyDescent="0.35">
      <c r="A135" s="1"/>
      <c r="B135" s="9"/>
      <c r="D135" s="30"/>
      <c r="E135" s="1" t="s">
        <v>157</v>
      </c>
      <c r="F135" s="8">
        <f>F131-F134</f>
        <v>68608.25</v>
      </c>
      <c r="G135" s="8">
        <f t="shared" ref="G135:AD135" si="57">G131-G134</f>
        <v>90179.721075000009</v>
      </c>
      <c r="H135" s="8">
        <f t="shared" si="57"/>
        <v>152569.8605739825</v>
      </c>
      <c r="I135" s="8">
        <f t="shared" si="57"/>
        <v>257852.71037438945</v>
      </c>
      <c r="J135" s="8">
        <f t="shared" si="57"/>
        <v>265574.31340478663</v>
      </c>
      <c r="K135" s="8">
        <f t="shared" si="57"/>
        <v>273527.21367124678</v>
      </c>
      <c r="L135" s="8">
        <f t="shared" si="57"/>
        <v>281718.34128439508</v>
      </c>
      <c r="M135" s="8">
        <f t="shared" si="57"/>
        <v>290154.83403713343</v>
      </c>
      <c r="N135" s="8">
        <f t="shared" si="57"/>
        <v>298844.0436295605</v>
      </c>
      <c r="O135" s="8">
        <f t="shared" si="57"/>
        <v>307793.54208050028</v>
      </c>
      <c r="P135" s="8">
        <f t="shared" si="57"/>
        <v>317011.12833123386</v>
      </c>
      <c r="Q135" s="8">
        <f t="shared" si="57"/>
        <v>326504.83504719619</v>
      </c>
      <c r="R135" s="8">
        <f t="shared" si="57"/>
        <v>336282.93562357465</v>
      </c>
      <c r="S135" s="8">
        <f t="shared" si="57"/>
        <v>346353.95140092104</v>
      </c>
      <c r="T135" s="8">
        <f t="shared" si="57"/>
        <v>356726.65909707465</v>
      </c>
      <c r="U135" s="8">
        <f t="shared" si="57"/>
        <v>367410.09846188145</v>
      </c>
      <c r="V135" s="8">
        <f t="shared" si="57"/>
        <v>378413.58016138896</v>
      </c>
      <c r="W135" s="8">
        <f t="shared" si="57"/>
        <v>389746.69389839761</v>
      </c>
      <c r="X135" s="8">
        <f t="shared" si="57"/>
        <v>401419.31677645387</v>
      </c>
      <c r="Y135" s="8">
        <f t="shared" si="57"/>
        <v>413441.62191458553</v>
      </c>
      <c r="Z135" s="8">
        <f t="shared" si="57"/>
        <v>425824.08732029557</v>
      </c>
      <c r="AA135" s="8">
        <f t="shared" si="57"/>
        <v>438577.50502855855</v>
      </c>
      <c r="AB135" s="8">
        <f t="shared" si="57"/>
        <v>451712.99051479466</v>
      </c>
      <c r="AC135" s="8">
        <f t="shared" si="57"/>
        <v>466605.24516334129</v>
      </c>
      <c r="AD135" s="8">
        <f t="shared" si="57"/>
        <v>482860.24627536605</v>
      </c>
    </row>
    <row r="136" spans="1:30" x14ac:dyDescent="0.35">
      <c r="A136" s="1"/>
      <c r="F136" s="79"/>
      <c r="G136" s="79"/>
      <c r="H136" s="79"/>
      <c r="I136" s="79"/>
      <c r="J136" s="79"/>
      <c r="K136" s="79"/>
      <c r="L136" s="79"/>
      <c r="M136" s="79"/>
      <c r="N136" s="79"/>
      <c r="O136" s="79"/>
    </row>
    <row r="137" spans="1:30" x14ac:dyDescent="0.35">
      <c r="A137" s="1"/>
      <c r="F137" s="79"/>
      <c r="G137" s="79"/>
      <c r="H137" s="79"/>
      <c r="I137" s="79"/>
      <c r="J137" s="79"/>
      <c r="K137" s="79"/>
      <c r="L137" s="79"/>
      <c r="M137" s="79"/>
      <c r="N137" s="79"/>
      <c r="O137" s="79"/>
      <c r="Z137" s="48"/>
    </row>
    <row r="138" spans="1:30" x14ac:dyDescent="0.35">
      <c r="A138" s="1"/>
      <c r="F138" s="79"/>
      <c r="G138" s="79"/>
      <c r="H138" s="79"/>
      <c r="I138" s="79"/>
      <c r="J138" s="79"/>
      <c r="K138" s="79"/>
      <c r="L138" s="79"/>
      <c r="M138" s="79"/>
      <c r="N138" s="79"/>
      <c r="O138" s="79"/>
    </row>
    <row r="139" spans="1:30" x14ac:dyDescent="0.35">
      <c r="A139" s="1"/>
      <c r="F139" s="79"/>
      <c r="G139" s="79"/>
      <c r="H139" s="79"/>
      <c r="I139" s="79"/>
      <c r="J139" s="79"/>
      <c r="K139" s="79"/>
      <c r="L139" s="79"/>
      <c r="M139" s="79"/>
      <c r="N139" s="79"/>
      <c r="O139" s="79"/>
    </row>
    <row r="140" spans="1:30" x14ac:dyDescent="0.35">
      <c r="A140" s="1"/>
      <c r="F140" s="79"/>
      <c r="G140" s="79"/>
      <c r="H140" s="79"/>
      <c r="I140" s="79"/>
      <c r="J140" s="79"/>
      <c r="K140" s="79"/>
      <c r="L140" s="79"/>
      <c r="M140" s="79"/>
      <c r="N140" s="79"/>
      <c r="O140" s="79"/>
    </row>
    <row r="141" spans="1:30" x14ac:dyDescent="0.35">
      <c r="A141" s="1"/>
      <c r="F141" s="79"/>
      <c r="G141" s="79"/>
      <c r="H141" s="79"/>
      <c r="I141" s="79"/>
      <c r="J141" s="79"/>
      <c r="K141" s="79"/>
      <c r="L141" s="79"/>
      <c r="M141" s="79"/>
      <c r="N141" s="79"/>
      <c r="O141" s="79"/>
    </row>
    <row r="142" spans="1:30" x14ac:dyDescent="0.35">
      <c r="A142" s="1"/>
      <c r="F142" s="79"/>
      <c r="G142" s="79"/>
      <c r="H142" s="79"/>
      <c r="I142" s="79"/>
      <c r="J142" s="79"/>
      <c r="K142" s="79"/>
      <c r="L142" s="79"/>
      <c r="M142" s="79"/>
      <c r="N142" s="79"/>
      <c r="O142" s="79"/>
    </row>
    <row r="143" spans="1:30" x14ac:dyDescent="0.35">
      <c r="A143" s="1"/>
      <c r="F143" s="79"/>
      <c r="G143" s="79"/>
      <c r="H143" s="79"/>
      <c r="I143" s="79"/>
      <c r="J143" s="79"/>
      <c r="K143" s="79"/>
      <c r="L143" s="79"/>
      <c r="M143" s="79"/>
      <c r="N143" s="79"/>
      <c r="O143" s="79"/>
    </row>
    <row r="144" spans="1:30" x14ac:dyDescent="0.35">
      <c r="A144" s="1"/>
      <c r="F144" s="79"/>
      <c r="G144" s="79"/>
      <c r="H144" s="79"/>
      <c r="I144" s="79"/>
      <c r="J144" s="79"/>
      <c r="K144" s="79"/>
      <c r="L144" s="79"/>
      <c r="M144" s="79"/>
      <c r="N144" s="79"/>
      <c r="O144" s="79"/>
    </row>
    <row r="145" spans="1:1" x14ac:dyDescent="0.35">
      <c r="A145" s="1"/>
    </row>
    <row r="146" spans="1:1" x14ac:dyDescent="0.35">
      <c r="A146" s="1"/>
    </row>
  </sheetData>
  <sheetProtection algorithmName="SHA-512" hashValue="Z0hNkIlubeShCd/21W8AR0K6FBVwAB5GOiW3lJ1WWMtRLpHduYr8LSKSaSDlreTyu4iQSvVoukFlHQEcq6YAdA==" saltValue="LwELj0ksQTQmoswgPVgkUw==" spinCount="100000" sheet="1" objects="1" scenarios="1" selectLockedCells="1" selectUnlockedCells="1"/>
  <mergeCells count="12">
    <mergeCell ref="C75:E75"/>
    <mergeCell ref="C129:E129"/>
    <mergeCell ref="C104:E104"/>
    <mergeCell ref="C73:E73"/>
    <mergeCell ref="C128:E128"/>
    <mergeCell ref="C96:E96"/>
    <mergeCell ref="C97:E97"/>
    <mergeCell ref="C102:E102"/>
    <mergeCell ref="C103:E103"/>
    <mergeCell ref="C99:E99"/>
    <mergeCell ref="C100:E100"/>
    <mergeCell ref="C76:E76"/>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4"/>
  <sheetViews>
    <sheetView zoomScale="70" zoomScaleNormal="70" zoomScalePageLayoutView="85" workbookViewId="0">
      <pane xSplit="5" topLeftCell="F1" activePane="topRight" state="frozen"/>
      <selection pane="topRight" sqref="A1:XFD1048576"/>
    </sheetView>
  </sheetViews>
  <sheetFormatPr defaultColWidth="8.81640625" defaultRowHeight="15.5" x14ac:dyDescent="0.35"/>
  <cols>
    <col min="1" max="1" width="4.81640625" style="17" customWidth="1"/>
    <col min="2" max="2" width="21.26953125" style="1" customWidth="1"/>
    <col min="3" max="3" width="16.08984375" style="1" customWidth="1"/>
    <col min="4" max="5" width="15.6328125" style="1" customWidth="1"/>
    <col min="6" max="6" width="12.08984375" style="1" customWidth="1"/>
    <col min="7" max="7" width="12.90625" style="1" bestFit="1" customWidth="1"/>
    <col min="8" max="9" width="13" style="1" bestFit="1" customWidth="1"/>
    <col min="10" max="10" width="14" style="1" bestFit="1" customWidth="1"/>
    <col min="11" max="11" width="13.26953125" style="1" bestFit="1" customWidth="1"/>
    <col min="12" max="12" width="14" style="1" bestFit="1" customWidth="1"/>
    <col min="13" max="14" width="13" style="1" bestFit="1" customWidth="1"/>
    <col min="15" max="15" width="14" style="1" bestFit="1" customWidth="1"/>
    <col min="16" max="16" width="13.26953125" style="1" bestFit="1" customWidth="1"/>
    <col min="17" max="23" width="15.453125" style="1" bestFit="1" customWidth="1"/>
    <col min="24" max="24" width="35.36328125" style="1" customWidth="1"/>
    <col min="25" max="25" width="15.453125" style="1" bestFit="1" customWidth="1"/>
    <col min="26" max="26" width="13.08984375" style="1" bestFit="1" customWidth="1"/>
    <col min="27" max="28" width="15.453125" style="1" bestFit="1" customWidth="1"/>
    <col min="29" max="29" width="14.26953125" style="1" bestFit="1" customWidth="1"/>
    <col min="30" max="30" width="14.81640625" style="1" bestFit="1" customWidth="1"/>
    <col min="31" max="35" width="14.08984375" style="1" bestFit="1" customWidth="1"/>
    <col min="36" max="120" width="8.81640625" style="1"/>
    <col min="121" max="121" width="8.81640625" style="1" customWidth="1"/>
    <col min="122" max="16384" width="8.81640625" style="1"/>
  </cols>
  <sheetData>
    <row r="1" spans="1:31" s="75" customFormat="1" ht="15.5" customHeight="1" x14ac:dyDescent="0.35">
      <c r="B1" s="168"/>
      <c r="C1" s="169" t="s">
        <v>8</v>
      </c>
      <c r="D1" s="170" t="s">
        <v>0</v>
      </c>
      <c r="E1" s="196" t="s">
        <v>133</v>
      </c>
      <c r="F1" s="79" t="s">
        <v>54</v>
      </c>
      <c r="G1" s="79"/>
      <c r="H1" s="79"/>
      <c r="I1" s="79"/>
      <c r="J1" s="79"/>
      <c r="K1" s="79"/>
      <c r="L1" s="79"/>
      <c r="M1" s="79"/>
      <c r="N1" s="79"/>
      <c r="O1" s="79">
        <v>10</v>
      </c>
      <c r="P1" s="49"/>
      <c r="Y1" s="75" t="s">
        <v>66</v>
      </c>
      <c r="AD1" s="75" t="s">
        <v>65</v>
      </c>
    </row>
    <row r="2" spans="1:31" ht="16" thickBot="1" x14ac:dyDescent="0.4">
      <c r="A2" s="29"/>
      <c r="B2" s="171" t="s">
        <v>20</v>
      </c>
      <c r="C2" s="172">
        <v>59322</v>
      </c>
      <c r="D2" s="173">
        <v>6.7900000000000002E-2</v>
      </c>
      <c r="E2" s="26">
        <f>SubsidizedBalance*SubRate</f>
        <v>4027.9638</v>
      </c>
      <c r="F2" s="64"/>
      <c r="G2" s="79"/>
      <c r="H2" s="79"/>
      <c r="I2" s="79"/>
      <c r="J2" s="79"/>
      <c r="K2" s="79"/>
      <c r="L2" s="79"/>
      <c r="M2" s="79"/>
      <c r="N2" s="79"/>
      <c r="O2" s="79"/>
      <c r="P2" s="28"/>
      <c r="Q2" s="28"/>
      <c r="R2" s="28"/>
      <c r="S2" s="28"/>
      <c r="T2" s="28"/>
      <c r="U2" s="28"/>
      <c r="V2" s="28"/>
    </row>
    <row r="3" spans="1:31" ht="75" customHeight="1" x14ac:dyDescent="0.35">
      <c r="A3" s="1"/>
      <c r="B3" s="171" t="s">
        <v>19</v>
      </c>
      <c r="C3" s="172">
        <v>131598</v>
      </c>
      <c r="D3" s="173">
        <v>0.06</v>
      </c>
      <c r="E3" s="26">
        <f>UnsubsidizedBalance*UnsubRate</f>
        <v>7895.88</v>
      </c>
      <c r="F3" s="79"/>
      <c r="G3" s="79"/>
      <c r="H3" s="113"/>
      <c r="I3" s="114" t="s">
        <v>94</v>
      </c>
      <c r="J3" s="114" t="s">
        <v>97</v>
      </c>
      <c r="K3" s="165" t="s">
        <v>95</v>
      </c>
      <c r="L3" s="165" t="s">
        <v>99</v>
      </c>
      <c r="M3" s="165" t="s">
        <v>100</v>
      </c>
      <c r="N3" s="165" t="s">
        <v>102</v>
      </c>
      <c r="O3" s="114" t="s">
        <v>96</v>
      </c>
      <c r="P3" s="115" t="s">
        <v>98</v>
      </c>
      <c r="Q3" s="115" t="s">
        <v>101</v>
      </c>
      <c r="R3" s="116" t="s">
        <v>103</v>
      </c>
      <c r="S3" s="28"/>
      <c r="T3" s="28"/>
      <c r="U3" s="28"/>
      <c r="V3" s="28"/>
    </row>
    <row r="4" spans="1:31" x14ac:dyDescent="0.35">
      <c r="A4" s="1"/>
      <c r="B4" s="171" t="s">
        <v>67</v>
      </c>
      <c r="C4" s="172">
        <v>334218</v>
      </c>
      <c r="D4" s="173">
        <v>8.4199999999999997E-2</v>
      </c>
      <c r="E4" s="26">
        <f>C4*D4</f>
        <v>28141.155599999998</v>
      </c>
      <c r="F4" s="79"/>
      <c r="G4" s="79"/>
      <c r="H4" s="117" t="s">
        <v>84</v>
      </c>
      <c r="I4" s="120">
        <f>SUM(F123:O123)</f>
        <v>375082.47065360035</v>
      </c>
      <c r="J4" s="120">
        <f>REPAYE_PSLF</f>
        <v>532840.97847975895</v>
      </c>
      <c r="K4" s="166" t="s">
        <v>87</v>
      </c>
      <c r="L4" s="166" t="s">
        <v>87</v>
      </c>
      <c r="M4" s="166" t="s">
        <v>87</v>
      </c>
      <c r="N4" s="166" t="s">
        <v>87</v>
      </c>
      <c r="O4" s="120">
        <f>SUM(F123:AD123)</f>
        <v>1590481.9040425422</v>
      </c>
      <c r="P4" s="120">
        <f>AD126</f>
        <v>225628.75728528801</v>
      </c>
      <c r="Q4" s="120">
        <f>E43</f>
        <v>89348.987884974063</v>
      </c>
      <c r="R4" s="121">
        <f>Z43</f>
        <v>1679830.8919275163</v>
      </c>
      <c r="S4" s="28"/>
      <c r="T4" s="28"/>
      <c r="U4" s="28"/>
      <c r="V4" s="28"/>
    </row>
    <row r="5" spans="1:31" x14ac:dyDescent="0.35">
      <c r="A5" s="1"/>
      <c r="B5" s="171"/>
      <c r="C5" s="174"/>
      <c r="D5" s="175"/>
      <c r="E5" s="26"/>
      <c r="F5" s="79"/>
      <c r="G5" s="79"/>
      <c r="H5" s="117"/>
      <c r="I5" s="120"/>
      <c r="J5" s="120"/>
      <c r="K5" s="166"/>
      <c r="L5" s="166"/>
      <c r="M5" s="166"/>
      <c r="N5" s="166"/>
      <c r="O5" s="120"/>
      <c r="P5" s="120"/>
      <c r="Q5" s="120"/>
      <c r="R5" s="121"/>
      <c r="S5" s="28"/>
      <c r="T5" s="28"/>
      <c r="U5" s="28"/>
      <c r="V5" s="28"/>
    </row>
    <row r="6" spans="1:31" x14ac:dyDescent="0.35">
      <c r="A6" s="1"/>
      <c r="B6" s="171" t="s">
        <v>3</v>
      </c>
      <c r="C6" s="84">
        <f>SUM(C2,C3,C4)</f>
        <v>525138</v>
      </c>
      <c r="D6" s="176">
        <f>E6/Total_Balance</f>
        <v>7.6294230088091136E-2</v>
      </c>
      <c r="E6" s="26">
        <f>SUM(E2:E4)</f>
        <v>40064.999400000001</v>
      </c>
      <c r="F6" s="79"/>
      <c r="G6" s="161" t="s">
        <v>87</v>
      </c>
      <c r="H6" s="162" t="s">
        <v>104</v>
      </c>
      <c r="I6" s="120"/>
      <c r="J6" s="120"/>
      <c r="K6" s="166"/>
      <c r="L6" s="166"/>
      <c r="M6" s="166"/>
      <c r="N6" s="166"/>
      <c r="O6" s="120"/>
      <c r="P6" s="120"/>
      <c r="Q6" s="120"/>
      <c r="R6" s="121"/>
      <c r="S6" s="28"/>
      <c r="T6" s="28"/>
      <c r="U6" s="28"/>
      <c r="V6" s="28"/>
    </row>
    <row r="7" spans="1:31" x14ac:dyDescent="0.35">
      <c r="A7" s="1"/>
      <c r="B7" s="50" t="s">
        <v>1</v>
      </c>
      <c r="C7" s="31">
        <f>WeightedAverageRate</f>
        <v>7.6294230088091136E-2</v>
      </c>
      <c r="D7" s="51"/>
      <c r="F7" s="32"/>
      <c r="G7" s="163"/>
      <c r="H7" s="164"/>
      <c r="I7" s="120"/>
      <c r="J7" s="120"/>
      <c r="K7" s="166"/>
      <c r="L7" s="166"/>
      <c r="M7" s="166"/>
      <c r="N7" s="166"/>
      <c r="O7" s="120"/>
      <c r="P7" s="120"/>
      <c r="Q7" s="120"/>
      <c r="R7" s="121"/>
      <c r="S7" s="28"/>
      <c r="T7" s="28"/>
      <c r="U7" s="28"/>
      <c r="V7" s="28"/>
    </row>
    <row r="8" spans="1:31" x14ac:dyDescent="0.35">
      <c r="A8" s="1"/>
      <c r="B8" s="50" t="s">
        <v>2</v>
      </c>
      <c r="C8" s="33">
        <v>12</v>
      </c>
      <c r="D8" s="51"/>
      <c r="F8" s="32"/>
      <c r="G8" s="163" t="s">
        <v>87</v>
      </c>
      <c r="H8" s="164" t="s">
        <v>105</v>
      </c>
      <c r="I8" s="120"/>
      <c r="J8" s="120"/>
      <c r="K8" s="166"/>
      <c r="L8" s="166"/>
      <c r="M8" s="166"/>
      <c r="N8" s="166"/>
      <c r="O8" s="120"/>
      <c r="P8" s="120"/>
      <c r="Q8" s="120"/>
      <c r="R8" s="121"/>
      <c r="S8" s="28"/>
      <c r="T8" s="28"/>
      <c r="U8" s="28"/>
      <c r="V8" s="28"/>
    </row>
    <row r="9" spans="1:31" x14ac:dyDescent="0.35">
      <c r="A9" s="1"/>
      <c r="B9" s="50"/>
      <c r="C9" s="33"/>
      <c r="D9" s="51"/>
      <c r="F9" s="32"/>
      <c r="G9" s="32"/>
      <c r="H9" s="118"/>
      <c r="I9" s="120"/>
      <c r="J9" s="120"/>
      <c r="K9" s="166"/>
      <c r="L9" s="166"/>
      <c r="M9" s="166"/>
      <c r="N9" s="166"/>
      <c r="O9" s="120"/>
      <c r="P9" s="120"/>
      <c r="Q9" s="120"/>
      <c r="R9" s="121"/>
      <c r="S9" s="28"/>
      <c r="T9" s="28"/>
      <c r="U9" s="28"/>
      <c r="V9" s="28"/>
    </row>
    <row r="10" spans="1:31" ht="31.5" thickBot="1" x14ac:dyDescent="0.4">
      <c r="A10" s="1"/>
      <c r="B10" s="68" t="s">
        <v>68</v>
      </c>
      <c r="C10" s="177" t="s">
        <v>71</v>
      </c>
      <c r="D10" s="52" t="str">
        <f>IF(C10="IBR15","IBR15",IF(C10="PAYE","PAYE",IF(C10="IBR10","IBR10",IF(C10="REPAYE","REPAYE",IF(C10="","Which?")))))</f>
        <v>IBR15</v>
      </c>
      <c r="F10" s="32"/>
      <c r="G10" s="32"/>
      <c r="H10" s="119" t="s">
        <v>106</v>
      </c>
      <c r="I10" s="122">
        <f>SUM(F82:O82)</f>
        <v>499772.18185052782</v>
      </c>
      <c r="J10" s="122">
        <f>O85</f>
        <v>411940.93817027489</v>
      </c>
      <c r="K10" s="167" t="s">
        <v>87</v>
      </c>
      <c r="L10" s="167" t="s">
        <v>87</v>
      </c>
      <c r="M10" s="167" t="s">
        <v>87</v>
      </c>
      <c r="N10" s="167" t="s">
        <v>87</v>
      </c>
      <c r="O10" s="122">
        <f>SUM(F82:AD82)</f>
        <v>1051903.7188977567</v>
      </c>
      <c r="P10" s="122">
        <f>AD85</f>
        <v>0</v>
      </c>
      <c r="Q10" s="122">
        <f>E32</f>
        <v>0</v>
      </c>
      <c r="R10" s="123">
        <f>O10+Q10</f>
        <v>1051903.7188977567</v>
      </c>
      <c r="S10" s="28"/>
      <c r="T10" s="28"/>
      <c r="U10" s="28"/>
      <c r="V10" s="28"/>
    </row>
    <row r="11" spans="1:31" ht="46.5" hidden="1" x14ac:dyDescent="0.35">
      <c r="A11" s="1"/>
      <c r="B11" s="67" t="s">
        <v>70</v>
      </c>
      <c r="C11" s="65">
        <f>IF(C10="IBR15",0.15,IF(C10="PAYE",0.1,IF(C10="IBR10",0.1,IF(C10="REPAYE",0.1,IF(C10="","?")))))</f>
        <v>0.15</v>
      </c>
      <c r="D11" s="53"/>
      <c r="F11" s="32"/>
      <c r="G11" s="32"/>
      <c r="H11" s="32"/>
      <c r="I11" s="32"/>
      <c r="J11" s="32"/>
      <c r="K11" s="32"/>
      <c r="L11" s="32"/>
      <c r="M11" s="32"/>
      <c r="N11" s="32"/>
      <c r="O11" s="32"/>
      <c r="P11" s="28"/>
      <c r="Q11" s="28"/>
      <c r="R11" s="28"/>
      <c r="S11" s="28"/>
      <c r="T11" s="28"/>
      <c r="U11" s="28"/>
      <c r="V11" s="28"/>
      <c r="AE11" s="9"/>
    </row>
    <row r="12" spans="1:31" ht="15.5" hidden="1" customHeight="1" x14ac:dyDescent="0.35">
      <c r="A12" s="34"/>
      <c r="B12" s="2" t="s">
        <v>69</v>
      </c>
      <c r="C12" s="35" t="s">
        <v>47</v>
      </c>
      <c r="F12" s="32"/>
      <c r="G12" s="32"/>
      <c r="H12" s="32"/>
      <c r="I12" s="32"/>
      <c r="J12" s="32"/>
      <c r="K12" s="32"/>
      <c r="L12" s="32"/>
      <c r="M12" s="32"/>
      <c r="N12" s="32"/>
      <c r="O12" s="32"/>
      <c r="P12" s="28"/>
      <c r="Q12" s="28"/>
      <c r="R12" s="28"/>
      <c r="S12" s="28"/>
      <c r="T12" s="28"/>
      <c r="U12" s="28"/>
      <c r="V12" s="28"/>
      <c r="AE12" s="9"/>
    </row>
    <row r="13" spans="1:31" ht="15.5" hidden="1" customHeight="1" x14ac:dyDescent="0.35">
      <c r="A13" s="29"/>
      <c r="B13" s="2" t="s">
        <v>23</v>
      </c>
      <c r="C13" s="36"/>
      <c r="D13" s="37"/>
      <c r="F13" s="32"/>
      <c r="G13" s="32"/>
      <c r="H13" s="32"/>
      <c r="I13" s="32"/>
      <c r="J13" s="32"/>
      <c r="K13" s="32"/>
      <c r="L13" s="32"/>
      <c r="M13" s="32"/>
      <c r="N13" s="32"/>
      <c r="O13" s="32"/>
      <c r="P13" s="28"/>
      <c r="Q13" s="28"/>
      <c r="R13" s="28"/>
      <c r="S13" s="28"/>
      <c r="T13" s="28"/>
      <c r="U13" s="28"/>
      <c r="V13" s="28"/>
      <c r="AE13" s="9"/>
    </row>
    <row r="14" spans="1:31" ht="15.5" hidden="1" customHeight="1" x14ac:dyDescent="0.35">
      <c r="A14" s="1"/>
      <c r="B14" s="2" t="s">
        <v>24</v>
      </c>
      <c r="C14" s="36" t="s">
        <v>48</v>
      </c>
      <c r="F14" s="32"/>
      <c r="G14" s="32"/>
      <c r="H14" s="32"/>
      <c r="I14" s="32"/>
      <c r="J14" s="32"/>
      <c r="K14" s="32"/>
      <c r="L14" s="32"/>
      <c r="M14" s="32"/>
      <c r="N14" s="32"/>
      <c r="O14" s="32"/>
      <c r="P14" s="28"/>
      <c r="Q14" s="28"/>
      <c r="R14" s="28"/>
      <c r="S14" s="28"/>
      <c r="T14" s="28"/>
      <c r="U14" s="28"/>
      <c r="V14" s="28"/>
      <c r="AE14" s="9"/>
    </row>
    <row r="15" spans="1:31" ht="15.5" hidden="1" customHeight="1" x14ac:dyDescent="0.35">
      <c r="A15" s="1"/>
      <c r="B15" s="2" t="s">
        <v>25</v>
      </c>
      <c r="C15" s="36"/>
      <c r="F15" s="32"/>
      <c r="G15" s="32"/>
      <c r="H15" s="32"/>
      <c r="I15" s="32"/>
      <c r="J15" s="32"/>
      <c r="K15" s="32"/>
      <c r="L15" s="32"/>
      <c r="M15" s="32"/>
      <c r="N15" s="32"/>
      <c r="O15" s="32"/>
      <c r="P15" s="28"/>
      <c r="Q15" s="28"/>
      <c r="R15" s="28"/>
      <c r="S15" s="28"/>
      <c r="T15" s="28"/>
      <c r="U15" s="28"/>
      <c r="V15" s="28"/>
      <c r="AE15" s="9"/>
    </row>
    <row r="16" spans="1:31" ht="15.5" hidden="1" customHeight="1" x14ac:dyDescent="0.35">
      <c r="A16" s="1"/>
      <c r="B16" s="2" t="s">
        <v>26</v>
      </c>
      <c r="C16" s="36"/>
      <c r="F16" s="32"/>
      <c r="G16" s="32"/>
      <c r="H16" s="32"/>
      <c r="I16" s="32"/>
      <c r="J16" s="32"/>
      <c r="K16" s="32"/>
      <c r="L16" s="32"/>
      <c r="M16" s="32"/>
      <c r="N16" s="32"/>
      <c r="O16" s="32"/>
      <c r="P16" s="28"/>
      <c r="Q16" s="28"/>
      <c r="R16" s="28"/>
      <c r="S16" s="28"/>
      <c r="T16" s="28"/>
      <c r="U16" s="28"/>
      <c r="V16" s="28"/>
      <c r="AE16" s="9"/>
    </row>
    <row r="17" spans="1:31" ht="15.5" hidden="1" customHeight="1" x14ac:dyDescent="0.35">
      <c r="A17" s="1"/>
      <c r="B17" s="2" t="s">
        <v>27</v>
      </c>
      <c r="C17" s="36"/>
      <c r="F17" s="79"/>
      <c r="G17" s="79"/>
      <c r="H17" s="79"/>
      <c r="I17" s="79"/>
      <c r="J17" s="79"/>
      <c r="K17" s="79"/>
      <c r="L17" s="79"/>
      <c r="M17" s="79"/>
      <c r="N17" s="79"/>
      <c r="O17" s="79"/>
      <c r="P17" s="28"/>
      <c r="Q17" s="28"/>
      <c r="R17" s="28"/>
      <c r="S17" s="28"/>
      <c r="T17" s="28"/>
      <c r="U17" s="28"/>
      <c r="V17" s="28"/>
      <c r="AE17" s="9"/>
    </row>
    <row r="18" spans="1:31" ht="15.5" hidden="1" customHeight="1" x14ac:dyDescent="0.35">
      <c r="A18" s="1"/>
      <c r="B18" s="2"/>
      <c r="C18" s="3"/>
      <c r="F18" s="79"/>
      <c r="G18" s="79"/>
      <c r="H18" s="79"/>
      <c r="I18" s="79"/>
      <c r="J18" s="79"/>
      <c r="K18" s="79"/>
      <c r="L18" s="79"/>
      <c r="M18" s="79"/>
      <c r="N18" s="79"/>
      <c r="O18" s="79"/>
      <c r="P18" s="28"/>
      <c r="AE18" s="9"/>
    </row>
    <row r="19" spans="1:31" ht="15.5" hidden="1" customHeight="1" x14ac:dyDescent="0.35">
      <c r="A19" s="1"/>
      <c r="B19" s="2"/>
      <c r="C19" s="4"/>
      <c r="D19" s="30"/>
      <c r="F19" s="79"/>
      <c r="G19" s="79"/>
      <c r="H19" s="79"/>
      <c r="I19" s="79"/>
      <c r="J19" s="79"/>
      <c r="K19" s="79"/>
      <c r="L19" s="79"/>
      <c r="M19" s="79"/>
      <c r="N19" s="79"/>
      <c r="O19" s="79"/>
      <c r="P19" s="28"/>
      <c r="AE19" s="9"/>
    </row>
    <row r="20" spans="1:31" ht="15.5" hidden="1" customHeight="1" x14ac:dyDescent="0.35">
      <c r="A20" s="1"/>
      <c r="B20" s="2"/>
      <c r="C20" s="4"/>
      <c r="D20" s="30"/>
      <c r="F20" s="79"/>
      <c r="G20" s="79"/>
      <c r="H20" s="79"/>
      <c r="I20" s="79"/>
      <c r="J20" s="79"/>
      <c r="K20" s="79"/>
      <c r="L20" s="79"/>
      <c r="M20" s="79"/>
      <c r="N20" s="79"/>
      <c r="O20" s="79"/>
      <c r="P20" s="28"/>
      <c r="AE20" s="9"/>
    </row>
    <row r="21" spans="1:31" ht="15.5" hidden="1" customHeight="1" x14ac:dyDescent="0.35">
      <c r="A21" s="1"/>
      <c r="B21" s="2"/>
      <c r="C21" s="5"/>
      <c r="D21" s="30"/>
      <c r="F21" s="79"/>
      <c r="G21" s="79"/>
      <c r="H21" s="79"/>
      <c r="I21" s="79"/>
      <c r="J21" s="79"/>
      <c r="K21" s="79"/>
      <c r="L21" s="79"/>
      <c r="M21" s="79"/>
      <c r="N21" s="79"/>
      <c r="O21" s="79"/>
      <c r="P21" s="28"/>
      <c r="AE21" s="9"/>
    </row>
    <row r="22" spans="1:31" ht="15.5" hidden="1" customHeight="1" x14ac:dyDescent="0.35">
      <c r="A22" s="1"/>
      <c r="B22" s="2" t="s">
        <v>19</v>
      </c>
      <c r="C22" s="6">
        <f>SUM(C3,C4)</f>
        <v>465816</v>
      </c>
      <c r="D22" s="38">
        <f>((C3*D3)+(C4*D4))/C22</f>
        <v>7.7363241279818626E-2</v>
      </c>
      <c r="F22" s="79"/>
      <c r="G22" s="79"/>
      <c r="H22" s="79"/>
      <c r="I22" s="79"/>
      <c r="J22" s="79"/>
      <c r="K22" s="79"/>
      <c r="L22" s="79"/>
      <c r="M22" s="79"/>
      <c r="N22" s="79"/>
      <c r="O22" s="79"/>
      <c r="P22" s="28"/>
      <c r="AE22" s="9"/>
    </row>
    <row r="23" spans="1:31" ht="15.5" hidden="1" customHeight="1" x14ac:dyDescent="0.35">
      <c r="A23" s="1"/>
      <c r="B23" s="2"/>
      <c r="C23" s="6"/>
      <c r="F23" s="79"/>
      <c r="G23" s="79"/>
      <c r="H23" s="79"/>
      <c r="I23" s="79"/>
      <c r="J23" s="79"/>
      <c r="K23" s="79"/>
      <c r="L23" s="79"/>
      <c r="M23" s="79"/>
      <c r="N23" s="79"/>
      <c r="O23" s="79"/>
      <c r="P23" s="28"/>
      <c r="AE23" s="9"/>
    </row>
    <row r="24" spans="1:31" ht="15.5" hidden="1" customHeight="1" x14ac:dyDescent="0.35">
      <c r="A24" s="1"/>
      <c r="B24" s="2"/>
      <c r="C24" s="6"/>
      <c r="D24" s="38"/>
      <c r="F24" s="79"/>
      <c r="G24" s="79"/>
      <c r="H24" s="79"/>
      <c r="I24" s="79"/>
      <c r="J24" s="79"/>
      <c r="K24" s="79"/>
      <c r="L24" s="79"/>
      <c r="M24" s="79"/>
      <c r="N24" s="79"/>
      <c r="O24" s="79"/>
      <c r="P24" s="28"/>
      <c r="AE24" s="9"/>
    </row>
    <row r="25" spans="1:31" ht="15.5" hidden="1" customHeight="1" x14ac:dyDescent="0.35">
      <c r="A25" s="1"/>
      <c r="B25" s="2"/>
      <c r="C25" s="6"/>
      <c r="D25" s="38"/>
      <c r="F25" s="79"/>
      <c r="G25" s="79"/>
      <c r="H25" s="79"/>
      <c r="I25" s="79"/>
      <c r="J25" s="79"/>
      <c r="K25" s="79"/>
      <c r="L25" s="79"/>
      <c r="M25" s="79"/>
      <c r="N25" s="79"/>
      <c r="O25" s="79"/>
      <c r="P25" s="28"/>
      <c r="AE25" s="9"/>
    </row>
    <row r="26" spans="1:31" ht="15.5" hidden="1" customHeight="1" x14ac:dyDescent="0.35">
      <c r="A26" s="1"/>
      <c r="B26" s="2" t="s">
        <v>20</v>
      </c>
      <c r="C26" s="6">
        <f>C2</f>
        <v>59322</v>
      </c>
      <c r="D26" s="66">
        <f>D2</f>
        <v>6.7900000000000002E-2</v>
      </c>
      <c r="F26" s="79"/>
      <c r="G26" s="79"/>
      <c r="H26" s="79"/>
      <c r="I26" s="79"/>
      <c r="J26" s="79"/>
      <c r="K26" s="79"/>
      <c r="L26" s="79"/>
      <c r="M26" s="79"/>
      <c r="N26" s="79"/>
      <c r="O26" s="79"/>
      <c r="P26" s="28"/>
      <c r="AE26" s="9"/>
    </row>
    <row r="27" spans="1:31" ht="15.5" hidden="1" customHeight="1" x14ac:dyDescent="0.35">
      <c r="A27" s="1"/>
      <c r="B27" s="2"/>
      <c r="C27" s="3"/>
      <c r="D27" s="38"/>
      <c r="F27" s="79"/>
      <c r="G27" s="79"/>
      <c r="H27" s="79"/>
      <c r="I27" s="79"/>
      <c r="J27" s="79"/>
      <c r="K27" s="79"/>
      <c r="L27" s="79"/>
      <c r="M27" s="79"/>
      <c r="N27" s="79"/>
      <c r="O27" s="79"/>
      <c r="P27" s="28"/>
      <c r="AE27" s="9"/>
    </row>
    <row r="28" spans="1:31" ht="15.5" hidden="1" customHeight="1" x14ac:dyDescent="0.35">
      <c r="A28" s="1"/>
      <c r="B28" s="2" t="s">
        <v>16</v>
      </c>
      <c r="C28" s="7">
        <f>C22/(C22+C26)</f>
        <v>0.8870354078356546</v>
      </c>
      <c r="D28" s="38"/>
      <c r="F28" s="79"/>
      <c r="G28" s="79"/>
      <c r="H28" s="79"/>
      <c r="I28" s="79"/>
      <c r="J28" s="79"/>
      <c r="K28" s="79"/>
      <c r="L28" s="79"/>
      <c r="M28" s="79"/>
      <c r="N28" s="79"/>
      <c r="O28" s="79"/>
      <c r="P28" s="28"/>
      <c r="AE28" s="9"/>
    </row>
    <row r="29" spans="1:31" hidden="1" x14ac:dyDescent="0.35">
      <c r="A29" s="1"/>
      <c r="B29" s="2"/>
      <c r="C29" s="55"/>
      <c r="D29" s="38"/>
      <c r="F29" s="79"/>
      <c r="G29" s="79"/>
      <c r="H29" s="79"/>
      <c r="I29" s="79"/>
      <c r="J29" s="79"/>
      <c r="K29" s="79"/>
      <c r="L29" s="79"/>
      <c r="M29" s="79"/>
      <c r="N29" s="79"/>
      <c r="O29" s="79"/>
      <c r="P29" s="28"/>
      <c r="AE29" s="9"/>
    </row>
    <row r="30" spans="1:31" ht="16" thickBot="1" x14ac:dyDescent="0.4">
      <c r="A30" s="1"/>
      <c r="B30" s="2"/>
      <c r="C30" s="8"/>
      <c r="D30" s="8"/>
      <c r="F30" s="79"/>
      <c r="G30" s="79"/>
      <c r="H30" s="79"/>
      <c r="I30" s="79"/>
      <c r="J30" s="79"/>
      <c r="K30" s="79"/>
      <c r="L30" s="79"/>
      <c r="M30" s="79"/>
      <c r="N30" s="79"/>
      <c r="O30" s="79"/>
      <c r="P30" s="28"/>
      <c r="AE30" s="9"/>
    </row>
    <row r="31" spans="1:31" s="58" customFormat="1" x14ac:dyDescent="0.35">
      <c r="B31" s="124" t="s">
        <v>72</v>
      </c>
      <c r="C31" s="110" t="s">
        <v>9</v>
      </c>
      <c r="D31" s="110" t="s">
        <v>18</v>
      </c>
      <c r="E31" s="125" t="s">
        <v>40</v>
      </c>
      <c r="F31" s="59"/>
      <c r="G31" s="59"/>
      <c r="H31" s="59"/>
      <c r="I31" s="59"/>
      <c r="J31" s="59" t="s">
        <v>3</v>
      </c>
      <c r="K31" s="59"/>
      <c r="L31" s="59"/>
      <c r="M31" s="59"/>
      <c r="N31" s="59"/>
      <c r="O31" s="59"/>
      <c r="P31" s="59"/>
      <c r="AE31" s="60"/>
    </row>
    <row r="32" spans="1:31" x14ac:dyDescent="0.35">
      <c r="A32" s="29"/>
      <c r="B32" s="126" t="str">
        <f>IF(C10="IBR15","IBR15",IF(C10="PAYE","PAYE",IF(C10="IBR10","IBR10",IF(C10="REPAYE","REPAYE"))))</f>
        <v>IBR15</v>
      </c>
      <c r="C32" s="127">
        <f>IF(C6=0,"",IF(F96="Ineligible","Ineligible",SUM(F82:AD82)))</f>
        <v>1051903.7188977567</v>
      </c>
      <c r="D32" s="78">
        <f>IF(C6=0,"",IF(F96="Ineligible","Ineligible",IF(C11=0.1,Y85,IF(C11=0.15,AD85,"ERROR"))))</f>
        <v>0</v>
      </c>
      <c r="E32" s="128">
        <f>AA71</f>
        <v>0</v>
      </c>
      <c r="F32" s="79"/>
      <c r="G32" s="79"/>
      <c r="H32" s="79"/>
      <c r="I32" s="79"/>
      <c r="J32" s="187">
        <f>C32+E32</f>
        <v>1051903.7188977567</v>
      </c>
      <c r="K32" s="79"/>
      <c r="L32" s="79"/>
      <c r="M32" s="79"/>
      <c r="N32" s="79"/>
      <c r="O32" s="79"/>
      <c r="P32" s="28"/>
      <c r="Z32" s="10">
        <f>C32+E32</f>
        <v>1051903.7188977567</v>
      </c>
      <c r="AE32" s="9"/>
    </row>
    <row r="33" spans="1:35" hidden="1" x14ac:dyDescent="0.35">
      <c r="A33" s="1"/>
      <c r="B33" s="126" t="s">
        <v>90</v>
      </c>
      <c r="C33" s="127">
        <f>IF(C6=0,"",IF(F99="Ineligible","Ineligible",SUM(F87:Y87)))</f>
        <v>1097858.6262202568</v>
      </c>
      <c r="D33" s="78">
        <f>IF(C6=0,"",IF(F99="Ineligible","Ineligible",Y93))</f>
        <v>117174.23990328507</v>
      </c>
      <c r="E33" s="128">
        <f>IF(C6=0,"",IF(F99="Ineligible","Ineligible",Z71))</f>
        <v>46400.999001700889</v>
      </c>
      <c r="F33" s="79"/>
      <c r="G33" s="79"/>
      <c r="H33" s="79"/>
      <c r="I33" s="79" t="s">
        <v>87</v>
      </c>
      <c r="J33" s="188"/>
      <c r="K33" s="79"/>
      <c r="L33" s="79"/>
      <c r="M33" s="79"/>
      <c r="N33" s="79"/>
      <c r="O33" s="79"/>
      <c r="P33" s="39"/>
      <c r="Q33" s="40"/>
      <c r="R33" s="40"/>
      <c r="S33" s="40"/>
      <c r="T33" s="40"/>
      <c r="U33" s="40"/>
      <c r="V33" s="40"/>
      <c r="W33" s="40"/>
      <c r="X33" s="40"/>
      <c r="Y33" s="40"/>
      <c r="Z33" s="81">
        <f>C33+E33</f>
        <v>1144259.6252219577</v>
      </c>
      <c r="AA33" s="40"/>
      <c r="AB33" s="40"/>
      <c r="AC33" s="40"/>
      <c r="AD33" s="40"/>
      <c r="AE33" s="41"/>
      <c r="AF33" s="40"/>
      <c r="AG33" s="40"/>
      <c r="AH33" s="40"/>
      <c r="AI33" s="40"/>
    </row>
    <row r="34" spans="1:35" hidden="1" x14ac:dyDescent="0.35">
      <c r="A34" s="1"/>
      <c r="B34" s="126" t="s">
        <v>41</v>
      </c>
      <c r="C34" s="127">
        <f>NPV(0.025,F87:Y87)</f>
        <v>808028.58113687392</v>
      </c>
      <c r="D34" s="78">
        <f>IF(C6=0,"",IF(F99="Ineligible","Ineligible",NPV(0.025,0,0,0,0,0,0,0,0,0,0,0,0,0,0,0,0,0,0,0,Y93)))</f>
        <v>71508.033864544617</v>
      </c>
      <c r="E34" s="128">
        <f>IF(C6=0,"",IF(F99="Ineligible","Ineligible",NPV(0.025,F71:Z71)))</f>
        <v>27626.518449131388</v>
      </c>
      <c r="F34" s="79"/>
      <c r="G34" s="79"/>
      <c r="H34" s="79"/>
      <c r="I34" s="79"/>
      <c r="J34" s="188"/>
      <c r="K34" s="79"/>
      <c r="L34" s="79"/>
      <c r="M34" s="79"/>
      <c r="N34" s="79"/>
      <c r="O34" s="79"/>
      <c r="P34" s="39"/>
      <c r="Q34" s="40"/>
      <c r="R34" s="40"/>
      <c r="S34" s="40"/>
      <c r="T34" s="40"/>
      <c r="U34" s="40"/>
      <c r="V34" s="40"/>
      <c r="W34" s="40"/>
      <c r="X34" s="40"/>
      <c r="Y34" s="40"/>
      <c r="Z34" s="40"/>
      <c r="AA34" s="40"/>
      <c r="AB34" s="40"/>
      <c r="AC34" s="40"/>
      <c r="AD34" s="40"/>
      <c r="AE34" s="41"/>
      <c r="AF34" s="40"/>
      <c r="AG34" s="40"/>
      <c r="AH34" s="40"/>
      <c r="AI34" s="40"/>
    </row>
    <row r="35" spans="1:35" hidden="1" x14ac:dyDescent="0.35">
      <c r="A35" s="1"/>
      <c r="B35" s="126" t="s">
        <v>74</v>
      </c>
      <c r="C35" s="127">
        <f>IF(C6=0,"",IF(F99="Ineligible","Ineligible",SUM(F87:O87)))</f>
        <v>375082.47065360035</v>
      </c>
      <c r="D35" s="129">
        <f>PAYE_PSLF</f>
        <v>544496.0457020707</v>
      </c>
      <c r="E35" s="128" t="s">
        <v>50</v>
      </c>
      <c r="F35" s="79"/>
      <c r="G35" s="79"/>
      <c r="H35" s="79"/>
      <c r="I35" s="79"/>
      <c r="J35" s="188"/>
      <c r="K35" s="79"/>
      <c r="L35" s="79"/>
      <c r="M35" s="79"/>
      <c r="N35" s="79"/>
      <c r="O35" s="79"/>
      <c r="P35" s="39"/>
      <c r="Q35" s="40"/>
      <c r="R35" s="40"/>
      <c r="S35" s="40"/>
      <c r="T35" s="40"/>
      <c r="U35" s="40"/>
      <c r="V35" s="40"/>
      <c r="W35" s="40"/>
      <c r="X35" s="40"/>
      <c r="Y35" s="40"/>
      <c r="Z35" s="40"/>
      <c r="AA35" s="40"/>
      <c r="AB35" s="40"/>
      <c r="AC35" s="40"/>
      <c r="AD35" s="40"/>
      <c r="AE35" s="41"/>
      <c r="AF35" s="40"/>
      <c r="AG35" s="40"/>
      <c r="AH35" s="40"/>
      <c r="AI35" s="40"/>
    </row>
    <row r="36" spans="1:35" x14ac:dyDescent="0.35">
      <c r="A36" s="1"/>
      <c r="B36" s="126" t="s">
        <v>73</v>
      </c>
      <c r="C36" s="127">
        <f>IF(C7=0,"",IF(F100="Ineligible","Ineligible",SUM(F82:O82)))</f>
        <v>499772.18185052782</v>
      </c>
      <c r="D36" s="78">
        <f>IF(C7=0,"",IF(F100="Ineligible","Ineligible",O85))</f>
        <v>411940.93817027489</v>
      </c>
      <c r="E36" s="128" t="s">
        <v>50</v>
      </c>
      <c r="F36" s="79"/>
      <c r="G36" s="79"/>
      <c r="H36" s="79"/>
      <c r="I36" s="79"/>
      <c r="J36" s="187">
        <f>C36</f>
        <v>499772.18185052782</v>
      </c>
      <c r="K36" s="79"/>
      <c r="L36" s="79"/>
      <c r="M36" s="79"/>
      <c r="N36" s="79"/>
      <c r="O36" s="79"/>
      <c r="P36" s="39"/>
      <c r="Q36" s="40"/>
      <c r="R36" s="40"/>
      <c r="S36" s="40"/>
      <c r="T36" s="40"/>
      <c r="U36" s="40"/>
      <c r="V36" s="40"/>
      <c r="W36" s="40"/>
      <c r="X36" s="40"/>
      <c r="Y36" s="40"/>
      <c r="Z36" s="40"/>
      <c r="AA36" s="40"/>
      <c r="AB36" s="40"/>
      <c r="AC36" s="40"/>
      <c r="AD36" s="40"/>
      <c r="AE36" s="41"/>
      <c r="AF36" s="40"/>
      <c r="AG36" s="40"/>
      <c r="AH36" s="40"/>
      <c r="AI36" s="40"/>
    </row>
    <row r="37" spans="1:35" x14ac:dyDescent="0.35">
      <c r="A37" s="1"/>
      <c r="B37" s="130" t="s">
        <v>34</v>
      </c>
      <c r="C37" s="83">
        <f>IF(C6=0,"",SUM(F109:O109)*12)</f>
        <v>752281.2523748331</v>
      </c>
      <c r="D37" s="191" t="s">
        <v>87</v>
      </c>
      <c r="E37" s="192" t="s">
        <v>87</v>
      </c>
      <c r="F37" s="56" t="s">
        <v>55</v>
      </c>
      <c r="G37" s="56">
        <f>G102</f>
        <v>6269.0104364569424</v>
      </c>
      <c r="H37" s="42"/>
      <c r="I37" s="42"/>
      <c r="J37" s="189"/>
      <c r="K37" s="42"/>
      <c r="L37" s="42"/>
      <c r="M37" s="42"/>
      <c r="N37" s="42"/>
      <c r="O37" s="42"/>
      <c r="P37" s="11"/>
      <c r="Q37" s="11"/>
      <c r="R37" s="11"/>
      <c r="S37" s="11"/>
      <c r="T37" s="11"/>
      <c r="U37" s="11"/>
      <c r="V37" s="11"/>
      <c r="W37" s="11"/>
      <c r="X37" s="11"/>
      <c r="Y37" s="11"/>
      <c r="Z37" s="11"/>
      <c r="AA37" s="11"/>
      <c r="AB37" s="11"/>
      <c r="AC37" s="11"/>
      <c r="AD37" s="11"/>
      <c r="AE37" s="11"/>
      <c r="AF37" s="11"/>
      <c r="AG37" s="11"/>
      <c r="AH37" s="11"/>
      <c r="AI37" s="11"/>
    </row>
    <row r="38" spans="1:35" x14ac:dyDescent="0.35">
      <c r="A38" s="1"/>
      <c r="B38" s="126" t="s">
        <v>21</v>
      </c>
      <c r="C38" s="83">
        <f>IF(C6=0,"",SUM(F105:AI105)*12)</f>
        <v>1115547.5616862779</v>
      </c>
      <c r="D38" s="191" t="s">
        <v>87</v>
      </c>
      <c r="E38" s="192" t="s">
        <v>87</v>
      </c>
      <c r="F38" s="56" t="s">
        <v>56</v>
      </c>
      <c r="G38" s="56">
        <f>G103</f>
        <v>3718.4918722875937</v>
      </c>
      <c r="H38" s="79"/>
      <c r="I38" s="79"/>
      <c r="J38" s="188"/>
      <c r="K38" s="79"/>
      <c r="L38" s="79"/>
      <c r="M38" s="79"/>
      <c r="N38" s="79"/>
      <c r="O38" s="79"/>
      <c r="P38" s="11"/>
      <c r="Q38" s="11"/>
      <c r="R38" s="11"/>
      <c r="S38" s="11"/>
      <c r="T38" s="11"/>
      <c r="U38" s="11"/>
      <c r="V38" s="11"/>
      <c r="W38" s="11"/>
      <c r="X38" s="11"/>
      <c r="Y38" s="11"/>
      <c r="Z38" s="11"/>
      <c r="AA38" s="11"/>
      <c r="AB38" s="11"/>
      <c r="AC38" s="11"/>
      <c r="AD38" s="11"/>
      <c r="AE38" s="11"/>
      <c r="AF38" s="11"/>
      <c r="AG38" s="11"/>
      <c r="AH38" s="11"/>
      <c r="AI38" s="11"/>
    </row>
    <row r="39" spans="1:35" hidden="1" x14ac:dyDescent="0.35">
      <c r="A39" s="1"/>
      <c r="B39" s="126" t="s">
        <v>42</v>
      </c>
      <c r="C39" s="83">
        <f>IF(C6=0,"",NPV(0.025,F106:AI106))</f>
        <v>822130.72772737755</v>
      </c>
      <c r="D39" s="191" t="s">
        <v>87</v>
      </c>
      <c r="E39" s="192" t="s">
        <v>87</v>
      </c>
      <c r="F39" s="79"/>
      <c r="G39" s="79"/>
      <c r="H39" s="79"/>
      <c r="I39" s="79"/>
      <c r="J39" s="188"/>
      <c r="K39" s="79"/>
      <c r="L39" s="79"/>
      <c r="M39" s="79"/>
      <c r="N39" s="79"/>
      <c r="O39" s="79"/>
      <c r="P39" s="11"/>
      <c r="Q39" s="11"/>
      <c r="R39" s="11"/>
      <c r="S39" s="11"/>
      <c r="T39" s="11"/>
      <c r="U39" s="11"/>
      <c r="V39" s="11"/>
      <c r="W39" s="11"/>
      <c r="X39" s="11"/>
      <c r="Y39" s="11"/>
      <c r="Z39" s="11"/>
      <c r="AA39" s="11"/>
      <c r="AB39" s="11"/>
      <c r="AC39" s="11"/>
      <c r="AD39" s="11"/>
      <c r="AE39" s="11"/>
      <c r="AF39" s="11"/>
      <c r="AG39" s="11"/>
      <c r="AH39" s="11"/>
      <c r="AI39" s="11"/>
    </row>
    <row r="40" spans="1:35" x14ac:dyDescent="0.35">
      <c r="A40" s="1"/>
      <c r="B40" s="130" t="s">
        <v>22</v>
      </c>
      <c r="C40" s="83">
        <f>IF(C6=0,"",IF(K115="N/A","N/A",SUM(F115:AI115)*12))</f>
        <v>1221599.6455305279</v>
      </c>
      <c r="D40" s="191" t="s">
        <v>87</v>
      </c>
      <c r="E40" s="192" t="s">
        <v>87</v>
      </c>
      <c r="F40" s="57"/>
      <c r="G40" s="57">
        <f>G104</f>
        <v>3272.2728476130824</v>
      </c>
      <c r="H40" s="79"/>
      <c r="I40" s="79"/>
      <c r="J40" s="188"/>
      <c r="K40" s="79"/>
      <c r="L40" s="79"/>
      <c r="M40" s="79"/>
      <c r="N40" s="79"/>
      <c r="O40" s="79"/>
      <c r="P40" s="11"/>
      <c r="Q40" s="11"/>
      <c r="R40" s="11"/>
      <c r="S40" s="11"/>
      <c r="T40" s="11"/>
      <c r="U40" s="11"/>
      <c r="V40" s="11"/>
      <c r="W40" s="11"/>
      <c r="X40" s="11"/>
      <c r="Y40" s="11"/>
      <c r="Z40" s="11"/>
      <c r="AA40" s="11"/>
      <c r="AB40" s="11"/>
      <c r="AC40" s="11"/>
      <c r="AD40" s="11"/>
      <c r="AE40" s="11"/>
      <c r="AF40" s="11"/>
      <c r="AG40" s="11"/>
      <c r="AH40" s="11"/>
      <c r="AI40" s="11"/>
    </row>
    <row r="41" spans="1:35" hidden="1" x14ac:dyDescent="0.35">
      <c r="A41" s="1"/>
      <c r="B41" s="126" t="s">
        <v>88</v>
      </c>
      <c r="C41" s="83">
        <f>IF(C6=0,"",IF(K115="N/A","N/A",SUM(F127:Y127)*12))</f>
        <v>1123888.4320210118</v>
      </c>
      <c r="D41" s="78">
        <f>IF(C6=0,"",IF(F99="Ineligible","Ineligible",Y126))</f>
        <v>358762.99479605316</v>
      </c>
      <c r="E41" s="128">
        <f>AB71</f>
        <v>142070.14593923706</v>
      </c>
      <c r="F41" s="79"/>
      <c r="G41" s="79"/>
      <c r="H41" s="79"/>
      <c r="I41" s="79" t="s">
        <v>87</v>
      </c>
      <c r="J41" s="188"/>
      <c r="K41" s="79"/>
      <c r="L41" s="79"/>
      <c r="M41" s="79"/>
      <c r="N41" s="79"/>
      <c r="O41" s="79"/>
      <c r="P41" s="11"/>
      <c r="Q41" s="11"/>
      <c r="R41" s="11"/>
      <c r="S41" s="11"/>
      <c r="T41" s="11"/>
      <c r="U41" s="11"/>
      <c r="V41" s="11"/>
      <c r="W41" s="11"/>
      <c r="X41" s="11"/>
      <c r="Y41" s="11"/>
      <c r="Z41" s="82">
        <f>C41+E41</f>
        <v>1265958.5779602488</v>
      </c>
      <c r="AA41" s="11"/>
      <c r="AB41" s="11"/>
      <c r="AC41" s="11"/>
      <c r="AD41" s="11"/>
      <c r="AE41" s="11"/>
      <c r="AF41" s="11"/>
      <c r="AG41" s="11"/>
      <c r="AH41" s="11"/>
      <c r="AI41" s="11"/>
    </row>
    <row r="42" spans="1:35" x14ac:dyDescent="0.35">
      <c r="A42" s="1"/>
      <c r="B42" s="130" t="s">
        <v>85</v>
      </c>
      <c r="C42" s="13">
        <f>IF(C6=0,"",IF(K115="N/A","N/A",SUM(F127:O127)*12))</f>
        <v>375082.47065360035</v>
      </c>
      <c r="D42" s="78">
        <f>O126</f>
        <v>532840.97847975895</v>
      </c>
      <c r="E42" s="131" t="s">
        <v>50</v>
      </c>
      <c r="G42" s="15"/>
      <c r="H42" s="15"/>
      <c r="I42" s="15"/>
      <c r="J42" s="190">
        <f>C42</f>
        <v>375082.47065360035</v>
      </c>
      <c r="K42" s="15"/>
      <c r="L42" s="15"/>
      <c r="M42" s="15"/>
      <c r="N42" s="15"/>
      <c r="O42" s="15"/>
      <c r="P42" s="11"/>
      <c r="Q42" s="11"/>
      <c r="R42" s="11"/>
      <c r="S42" s="11"/>
      <c r="T42" s="11"/>
      <c r="U42" s="11"/>
      <c r="V42" s="11"/>
      <c r="W42" s="11"/>
      <c r="X42" s="11"/>
      <c r="Y42" s="11"/>
      <c r="Z42" s="11"/>
      <c r="AA42" s="11"/>
      <c r="AB42" s="11"/>
      <c r="AC42" s="11"/>
      <c r="AD42" s="11"/>
      <c r="AE42" s="11"/>
      <c r="AF42" s="11"/>
      <c r="AG42" s="11"/>
      <c r="AH42" s="11"/>
      <c r="AI42" s="11"/>
    </row>
    <row r="43" spans="1:35" ht="16" thickBot="1" x14ac:dyDescent="0.4">
      <c r="A43" s="1"/>
      <c r="B43" s="132" t="s">
        <v>89</v>
      </c>
      <c r="C43" s="111">
        <f>IF(C6=0,"",IF(K115="N/A","N/A",SUM(F127:AD127)*12))</f>
        <v>1590481.9040425422</v>
      </c>
      <c r="D43" s="108">
        <f>AD126</f>
        <v>225628.75728528801</v>
      </c>
      <c r="E43" s="133">
        <f>AC71</f>
        <v>89348.987884974063</v>
      </c>
      <c r="F43" s="15"/>
      <c r="G43" s="15"/>
      <c r="H43" s="15"/>
      <c r="I43" s="15"/>
      <c r="J43" s="190">
        <f>C43+E43</f>
        <v>1679830.8919275163</v>
      </c>
      <c r="K43" s="15"/>
      <c r="L43" s="15"/>
      <c r="M43" s="15"/>
      <c r="N43" s="15"/>
      <c r="O43" s="15"/>
      <c r="P43" s="11"/>
      <c r="Q43" s="11"/>
      <c r="R43" s="11"/>
      <c r="S43" s="11"/>
      <c r="T43" s="11"/>
      <c r="U43" s="11"/>
      <c r="V43" s="11"/>
      <c r="W43" s="11"/>
      <c r="X43" s="11"/>
      <c r="Y43" s="11"/>
      <c r="Z43" s="82">
        <f>C43+E43</f>
        <v>1679830.8919275163</v>
      </c>
      <c r="AA43" s="11"/>
      <c r="AB43" s="11"/>
      <c r="AC43" s="11"/>
      <c r="AD43" s="11"/>
      <c r="AE43" s="11"/>
      <c r="AF43" s="11"/>
      <c r="AG43" s="11"/>
      <c r="AH43" s="11"/>
      <c r="AI43" s="11"/>
    </row>
    <row r="44" spans="1:35" x14ac:dyDescent="0.35">
      <c r="A44" s="1"/>
      <c r="B44" s="12"/>
      <c r="C44" s="13"/>
      <c r="D44" s="14"/>
      <c r="F44" s="15"/>
      <c r="G44" s="15"/>
      <c r="H44" s="15"/>
      <c r="I44" s="15"/>
      <c r="J44" s="15"/>
      <c r="K44" s="15"/>
      <c r="L44" s="15"/>
      <c r="M44" s="15"/>
      <c r="N44" s="15"/>
      <c r="O44" s="15"/>
      <c r="P44" s="11"/>
      <c r="Q44" s="11"/>
      <c r="R44" s="11"/>
      <c r="S44" s="11"/>
      <c r="T44" s="11"/>
      <c r="U44" s="11"/>
      <c r="V44" s="11"/>
      <c r="W44" s="11"/>
      <c r="X44" s="11"/>
      <c r="Y44" s="11"/>
      <c r="Z44" s="11"/>
      <c r="AA44" s="11"/>
      <c r="AB44" s="11"/>
      <c r="AC44" s="11"/>
      <c r="AD44" s="11"/>
      <c r="AE44" s="11"/>
      <c r="AF44" s="11"/>
      <c r="AG44" s="11"/>
      <c r="AH44" s="11"/>
      <c r="AI44" s="11"/>
    </row>
    <row r="45" spans="1:35" hidden="1" x14ac:dyDescent="0.35">
      <c r="A45" s="1"/>
      <c r="B45" s="12"/>
      <c r="C45" s="13"/>
      <c r="D45" s="14"/>
      <c r="F45" s="15"/>
      <c r="G45" s="15"/>
      <c r="H45" s="15"/>
      <c r="I45" s="15"/>
      <c r="J45" s="15"/>
      <c r="K45" s="15"/>
      <c r="L45" s="15"/>
      <c r="M45" s="15"/>
      <c r="N45" s="15"/>
      <c r="O45" s="15"/>
      <c r="P45" s="11"/>
      <c r="Q45" s="11"/>
      <c r="R45" s="11"/>
      <c r="S45" s="11"/>
      <c r="T45" s="11"/>
      <c r="U45" s="11"/>
      <c r="V45" s="11"/>
      <c r="W45" s="11"/>
      <c r="X45" s="11"/>
      <c r="Y45" s="11"/>
      <c r="Z45" s="11"/>
      <c r="AA45" s="11"/>
      <c r="AB45" s="11"/>
      <c r="AC45" s="11"/>
      <c r="AD45" s="11"/>
      <c r="AE45" s="11"/>
      <c r="AF45" s="11"/>
      <c r="AG45" s="11"/>
      <c r="AH45" s="11"/>
      <c r="AI45" s="11"/>
    </row>
    <row r="46" spans="1:35" hidden="1" x14ac:dyDescent="0.35">
      <c r="A46" s="1"/>
      <c r="B46" s="12"/>
      <c r="C46" s="16"/>
      <c r="D46" s="14"/>
      <c r="F46" s="15"/>
      <c r="G46" s="15"/>
      <c r="H46" s="15"/>
      <c r="I46" s="15"/>
      <c r="J46" s="15"/>
      <c r="K46" s="15"/>
      <c r="L46" s="15"/>
      <c r="M46" s="15"/>
      <c r="N46" s="15"/>
      <c r="O46" s="15"/>
      <c r="P46" s="11"/>
      <c r="Q46" s="11"/>
      <c r="R46" s="11"/>
      <c r="S46" s="11"/>
      <c r="T46" s="11"/>
      <c r="U46" s="11"/>
      <c r="V46" s="11"/>
      <c r="W46" s="11"/>
      <c r="X46" s="11"/>
      <c r="Y46" s="11"/>
      <c r="Z46" s="11"/>
      <c r="AA46" s="11"/>
      <c r="AB46" s="11"/>
      <c r="AC46" s="11"/>
      <c r="AD46" s="11"/>
      <c r="AE46" s="11"/>
      <c r="AF46" s="11"/>
      <c r="AG46" s="11"/>
      <c r="AH46" s="11"/>
      <c r="AI46" s="11"/>
    </row>
    <row r="47" spans="1:35" hidden="1" x14ac:dyDescent="0.35">
      <c r="B47" s="2"/>
      <c r="C47" s="43"/>
      <c r="D47" s="14"/>
      <c r="G47" s="15"/>
      <c r="H47" s="15"/>
      <c r="I47" s="15"/>
      <c r="J47" s="15"/>
      <c r="K47" s="15"/>
      <c r="L47" s="15"/>
      <c r="M47" s="15"/>
      <c r="N47" s="15"/>
      <c r="O47" s="15"/>
      <c r="P47" s="11"/>
      <c r="Q47" s="11"/>
      <c r="R47" s="11"/>
      <c r="S47" s="11"/>
      <c r="T47" s="11"/>
      <c r="U47" s="11"/>
      <c r="V47" s="11"/>
      <c r="W47" s="11"/>
      <c r="X47" s="11"/>
      <c r="Y47" s="11"/>
      <c r="Z47" s="11"/>
      <c r="AA47" s="11"/>
      <c r="AB47" s="11"/>
      <c r="AC47" s="11"/>
      <c r="AD47" s="11"/>
      <c r="AE47" s="11"/>
      <c r="AF47" s="11"/>
      <c r="AG47" s="11"/>
      <c r="AH47" s="11"/>
      <c r="AI47" s="11"/>
    </row>
    <row r="48" spans="1:35" hidden="1" x14ac:dyDescent="0.35">
      <c r="A48" s="1"/>
      <c r="B48" s="44"/>
      <c r="C48" s="43"/>
      <c r="D48" s="14"/>
      <c r="F48" s="15"/>
      <c r="G48" s="15"/>
      <c r="H48" s="15"/>
      <c r="I48" s="15"/>
      <c r="J48" s="15"/>
      <c r="K48" s="15"/>
      <c r="L48" s="15"/>
      <c r="M48" s="15"/>
      <c r="N48" s="15"/>
      <c r="O48" s="15"/>
      <c r="P48" s="40"/>
      <c r="Q48" s="40"/>
      <c r="R48" s="40"/>
      <c r="S48" s="40"/>
      <c r="T48" s="40"/>
      <c r="U48" s="40"/>
      <c r="V48" s="40"/>
      <c r="W48" s="40"/>
      <c r="X48" s="40"/>
      <c r="Y48" s="40"/>
      <c r="Z48" s="40"/>
      <c r="AA48" s="40"/>
      <c r="AB48" s="40"/>
      <c r="AC48" s="40"/>
      <c r="AD48" s="40"/>
      <c r="AE48" s="41"/>
      <c r="AF48" s="40"/>
      <c r="AG48" s="40"/>
      <c r="AH48" s="40"/>
      <c r="AI48" s="40"/>
    </row>
    <row r="49" spans="1:35" hidden="1" x14ac:dyDescent="0.35">
      <c r="A49" s="1"/>
      <c r="B49" s="44"/>
      <c r="C49" s="43"/>
      <c r="D49" s="14"/>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1"/>
      <c r="AF49" s="40"/>
      <c r="AG49" s="40"/>
      <c r="AH49" s="40"/>
      <c r="AI49" s="40"/>
    </row>
    <row r="50" spans="1:35" hidden="1" x14ac:dyDescent="0.35">
      <c r="A50" s="1"/>
      <c r="B50" s="44"/>
      <c r="C50" s="43"/>
      <c r="D50" s="14"/>
      <c r="G50" s="1" t="s">
        <v>60</v>
      </c>
      <c r="I50" s="61" t="s">
        <v>61</v>
      </c>
      <c r="AE50" s="9"/>
    </row>
    <row r="51" spans="1:35" hidden="1" x14ac:dyDescent="0.35">
      <c r="A51" s="1"/>
      <c r="B51" s="44" t="s">
        <v>58</v>
      </c>
      <c r="C51" s="43"/>
      <c r="D51" s="14"/>
      <c r="E51" s="1" t="s">
        <v>62</v>
      </c>
      <c r="F51" s="11">
        <v>68000</v>
      </c>
      <c r="G51" s="11">
        <f>F51*1.025</f>
        <v>69700</v>
      </c>
      <c r="H51" s="11">
        <f t="shared" ref="H51:W54" si="0">G51*1.025</f>
        <v>71442.5</v>
      </c>
      <c r="I51" s="11">
        <f t="shared" si="0"/>
        <v>73228.5625</v>
      </c>
      <c r="J51" s="11">
        <f t="shared" si="0"/>
        <v>75059.276562499988</v>
      </c>
      <c r="K51" s="11">
        <f t="shared" si="0"/>
        <v>76935.758476562478</v>
      </c>
      <c r="L51" s="11">
        <f t="shared" si="0"/>
        <v>78859.152438476536</v>
      </c>
      <c r="M51" s="11">
        <f t="shared" si="0"/>
        <v>80830.631249438447</v>
      </c>
      <c r="N51" s="11">
        <f t="shared" si="0"/>
        <v>82851.397030674401</v>
      </c>
      <c r="O51" s="11">
        <f t="shared" si="0"/>
        <v>84922.681956441258</v>
      </c>
      <c r="P51" s="11">
        <f t="shared" si="0"/>
        <v>87045.749005352278</v>
      </c>
      <c r="Q51" s="11">
        <f t="shared" si="0"/>
        <v>89221.89273048607</v>
      </c>
      <c r="R51" s="11">
        <f t="shared" si="0"/>
        <v>91452.44004874822</v>
      </c>
      <c r="S51" s="11">
        <f t="shared" si="0"/>
        <v>93738.751049966915</v>
      </c>
      <c r="T51" s="11">
        <f t="shared" si="0"/>
        <v>96082.219826216082</v>
      </c>
      <c r="U51" s="11">
        <f t="shared" si="0"/>
        <v>98484.275321871479</v>
      </c>
      <c r="V51" s="11">
        <f t="shared" si="0"/>
        <v>100946.38220491826</v>
      </c>
      <c r="W51" s="11">
        <f t="shared" si="0"/>
        <v>103470.04176004122</v>
      </c>
      <c r="X51" s="11">
        <f t="shared" ref="X51:AI54" si="1">W51*1.025</f>
        <v>106056.79280404224</v>
      </c>
      <c r="Y51" s="11">
        <f t="shared" si="1"/>
        <v>108708.21262414329</v>
      </c>
      <c r="Z51" s="11">
        <f t="shared" si="1"/>
        <v>111425.91793974685</v>
      </c>
      <c r="AA51" s="11">
        <f t="shared" si="1"/>
        <v>114211.56588824051</v>
      </c>
      <c r="AB51" s="11">
        <f t="shared" si="1"/>
        <v>117066.85503544651</v>
      </c>
      <c r="AC51" s="11">
        <f t="shared" si="1"/>
        <v>119993.52641133267</v>
      </c>
      <c r="AD51" s="11">
        <f t="shared" si="1"/>
        <v>122993.36457161598</v>
      </c>
      <c r="AE51" s="11">
        <f t="shared" si="1"/>
        <v>126068.19868590638</v>
      </c>
      <c r="AF51" s="11"/>
      <c r="AG51" s="11"/>
      <c r="AH51" s="11">
        <f t="shared" si="1"/>
        <v>0</v>
      </c>
      <c r="AI51" s="11">
        <f t="shared" si="1"/>
        <v>0</v>
      </c>
    </row>
    <row r="52" spans="1:35" hidden="1" x14ac:dyDescent="0.35">
      <c r="A52" s="1"/>
      <c r="B52" s="44"/>
      <c r="C52" s="43"/>
      <c r="D52" s="14"/>
      <c r="F52" s="11">
        <v>100000</v>
      </c>
      <c r="G52" s="11">
        <f>F52*1.025</f>
        <v>102499.99999999999</v>
      </c>
      <c r="H52" s="11">
        <f t="shared" si="0"/>
        <v>105062.49999999997</v>
      </c>
      <c r="I52" s="11">
        <f t="shared" si="0"/>
        <v>107689.06249999996</v>
      </c>
      <c r="J52" s="11">
        <f t="shared" si="0"/>
        <v>110381.28906249994</v>
      </c>
      <c r="K52" s="11">
        <f t="shared" si="0"/>
        <v>113140.82128906243</v>
      </c>
      <c r="L52" s="11">
        <f t="shared" si="0"/>
        <v>115969.34182128898</v>
      </c>
      <c r="M52" s="11">
        <f t="shared" si="0"/>
        <v>118868.5753668212</v>
      </c>
      <c r="N52" s="11">
        <f t="shared" si="0"/>
        <v>121840.28975099172</v>
      </c>
      <c r="O52" s="11">
        <f t="shared" si="0"/>
        <v>124886.29699476651</v>
      </c>
      <c r="P52" s="11">
        <f t="shared" si="0"/>
        <v>128008.45441963566</v>
      </c>
      <c r="Q52" s="11">
        <f t="shared" si="0"/>
        <v>131208.66578012652</v>
      </c>
      <c r="R52" s="11">
        <f t="shared" si="0"/>
        <v>134488.88242462967</v>
      </c>
      <c r="S52" s="11">
        <f t="shared" si="0"/>
        <v>137851.10448524539</v>
      </c>
      <c r="T52" s="11">
        <f t="shared" si="0"/>
        <v>141297.38209737651</v>
      </c>
      <c r="U52" s="11">
        <f t="shared" si="0"/>
        <v>144829.81664981091</v>
      </c>
      <c r="V52" s="11">
        <f t="shared" si="0"/>
        <v>148450.56206605615</v>
      </c>
      <c r="W52" s="11">
        <f t="shared" si="0"/>
        <v>152161.82611770753</v>
      </c>
      <c r="X52" s="11">
        <f t="shared" si="1"/>
        <v>155965.87177065021</v>
      </c>
      <c r="Y52" s="11">
        <f t="shared" si="1"/>
        <v>159865.01856491645</v>
      </c>
      <c r="Z52" s="11">
        <f t="shared" si="1"/>
        <v>163861.64402903934</v>
      </c>
      <c r="AA52" s="11">
        <f t="shared" si="1"/>
        <v>167958.1851297653</v>
      </c>
      <c r="AB52" s="11">
        <f t="shared" si="1"/>
        <v>172157.13975800943</v>
      </c>
      <c r="AC52" s="11">
        <f t="shared" si="1"/>
        <v>176461.06825195966</v>
      </c>
      <c r="AD52" s="11">
        <f t="shared" si="1"/>
        <v>180872.59495825865</v>
      </c>
      <c r="AE52" s="11">
        <f t="shared" si="1"/>
        <v>185394.40983221511</v>
      </c>
      <c r="AF52" s="11"/>
      <c r="AG52" s="11"/>
      <c r="AH52" s="11">
        <f t="shared" si="1"/>
        <v>0</v>
      </c>
      <c r="AI52" s="11">
        <f t="shared" si="1"/>
        <v>0</v>
      </c>
    </row>
    <row r="53" spans="1:35" hidden="1" x14ac:dyDescent="0.35">
      <c r="A53" s="1"/>
      <c r="B53" s="44" t="s">
        <v>57</v>
      </c>
      <c r="C53" s="43"/>
      <c r="D53" s="14"/>
      <c r="F53" s="11">
        <v>150000</v>
      </c>
      <c r="G53" s="11">
        <f>F53*1.025</f>
        <v>153750</v>
      </c>
      <c r="H53" s="11">
        <f t="shared" si="0"/>
        <v>157593.75</v>
      </c>
      <c r="I53" s="11">
        <f t="shared" si="0"/>
        <v>161533.59375</v>
      </c>
      <c r="J53" s="11">
        <f t="shared" si="0"/>
        <v>165571.93359375</v>
      </c>
      <c r="K53" s="11">
        <f t="shared" si="0"/>
        <v>169711.23193359372</v>
      </c>
      <c r="L53" s="11">
        <f t="shared" si="0"/>
        <v>173954.01273193356</v>
      </c>
      <c r="M53" s="11">
        <f t="shared" si="0"/>
        <v>178302.86305023188</v>
      </c>
      <c r="N53" s="11">
        <f t="shared" si="0"/>
        <v>182760.43462648767</v>
      </c>
      <c r="O53" s="11">
        <f t="shared" si="0"/>
        <v>187329.44549214985</v>
      </c>
      <c r="P53" s="11">
        <f t="shared" si="0"/>
        <v>192012.68162945358</v>
      </c>
      <c r="Q53" s="11">
        <f t="shared" si="0"/>
        <v>196812.9986701899</v>
      </c>
      <c r="R53" s="11">
        <f t="shared" si="0"/>
        <v>201733.32363694464</v>
      </c>
      <c r="S53" s="11">
        <f t="shared" si="0"/>
        <v>206776.65672786825</v>
      </c>
      <c r="T53" s="11">
        <f t="shared" si="0"/>
        <v>211946.07314606494</v>
      </c>
      <c r="U53" s="11">
        <f t="shared" si="0"/>
        <v>217244.72497471655</v>
      </c>
      <c r="V53" s="11">
        <f t="shared" si="0"/>
        <v>222675.84309908445</v>
      </c>
      <c r="W53" s="11">
        <f t="shared" si="0"/>
        <v>228242.73917656153</v>
      </c>
      <c r="X53" s="11">
        <f t="shared" si="1"/>
        <v>233948.80765597554</v>
      </c>
      <c r="Y53" s="11">
        <f t="shared" si="1"/>
        <v>239797.52784737491</v>
      </c>
      <c r="Z53" s="11">
        <f t="shared" si="1"/>
        <v>245792.46604355925</v>
      </c>
      <c r="AA53" s="11">
        <f t="shared" si="1"/>
        <v>251937.27769464822</v>
      </c>
      <c r="AB53" s="11">
        <f t="shared" si="1"/>
        <v>258235.7096370144</v>
      </c>
      <c r="AC53" s="11">
        <f t="shared" si="1"/>
        <v>264691.60237793974</v>
      </c>
      <c r="AD53" s="11">
        <f t="shared" si="1"/>
        <v>271308.89243738819</v>
      </c>
      <c r="AE53" s="11">
        <f t="shared" si="1"/>
        <v>278091.61474832287</v>
      </c>
      <c r="AF53" s="11"/>
      <c r="AG53" s="11"/>
      <c r="AH53" s="11">
        <f t="shared" si="1"/>
        <v>0</v>
      </c>
      <c r="AI53" s="11">
        <f t="shared" si="1"/>
        <v>0</v>
      </c>
    </row>
    <row r="54" spans="1:35" hidden="1" x14ac:dyDescent="0.35">
      <c r="A54" s="1"/>
      <c r="B54" s="44" t="s">
        <v>59</v>
      </c>
      <c r="C54" s="43"/>
      <c r="D54" s="14"/>
      <c r="F54" s="11">
        <v>200000</v>
      </c>
      <c r="G54" s="11">
        <f>F54*1.025</f>
        <v>204999.99999999997</v>
      </c>
      <c r="H54" s="11">
        <f t="shared" si="0"/>
        <v>210124.99999999994</v>
      </c>
      <c r="I54" s="11">
        <f t="shared" si="0"/>
        <v>215378.12499999991</v>
      </c>
      <c r="J54" s="11">
        <f t="shared" si="0"/>
        <v>220762.57812499988</v>
      </c>
      <c r="K54" s="11">
        <f t="shared" si="0"/>
        <v>226281.64257812485</v>
      </c>
      <c r="L54" s="11">
        <f t="shared" si="0"/>
        <v>231938.68364257796</v>
      </c>
      <c r="M54" s="11">
        <f t="shared" si="0"/>
        <v>237737.1507336424</v>
      </c>
      <c r="N54" s="11">
        <f t="shared" si="0"/>
        <v>243680.57950198345</v>
      </c>
      <c r="O54" s="11">
        <f t="shared" si="0"/>
        <v>249772.59398953302</v>
      </c>
      <c r="P54" s="11">
        <f t="shared" si="0"/>
        <v>256016.90883927132</v>
      </c>
      <c r="Q54" s="11">
        <f t="shared" si="0"/>
        <v>262417.33156025305</v>
      </c>
      <c r="R54" s="11">
        <f t="shared" si="0"/>
        <v>268977.76484925934</v>
      </c>
      <c r="S54" s="11">
        <f t="shared" si="0"/>
        <v>275702.20897049078</v>
      </c>
      <c r="T54" s="11">
        <f t="shared" si="0"/>
        <v>282594.76419475302</v>
      </c>
      <c r="U54" s="11">
        <f t="shared" si="0"/>
        <v>289659.63329962181</v>
      </c>
      <c r="V54" s="11">
        <f t="shared" si="0"/>
        <v>296901.12413211231</v>
      </c>
      <c r="W54" s="11">
        <f t="shared" si="0"/>
        <v>304323.65223541507</v>
      </c>
      <c r="X54" s="11">
        <f t="shared" si="1"/>
        <v>311931.74354130041</v>
      </c>
      <c r="Y54" s="11">
        <f t="shared" si="1"/>
        <v>319730.0371298329</v>
      </c>
      <c r="Z54" s="11">
        <f t="shared" si="1"/>
        <v>327723.28805807867</v>
      </c>
      <c r="AA54" s="11">
        <f t="shared" si="1"/>
        <v>335916.37025953061</v>
      </c>
      <c r="AB54" s="11">
        <f t="shared" si="1"/>
        <v>344314.27951601887</v>
      </c>
      <c r="AC54" s="11">
        <f t="shared" si="1"/>
        <v>352922.13650391932</v>
      </c>
      <c r="AD54" s="11">
        <f t="shared" si="1"/>
        <v>361745.18991651729</v>
      </c>
      <c r="AE54" s="11">
        <f t="shared" si="1"/>
        <v>370788.81966443022</v>
      </c>
      <c r="AF54" s="11"/>
      <c r="AG54" s="11"/>
      <c r="AH54" s="11">
        <f t="shared" si="1"/>
        <v>0</v>
      </c>
      <c r="AI54" s="11">
        <f t="shared" si="1"/>
        <v>0</v>
      </c>
    </row>
    <row r="55" spans="1:35" hidden="1" x14ac:dyDescent="0.35">
      <c r="A55" s="1"/>
      <c r="B55" s="44"/>
      <c r="C55" s="43"/>
      <c r="D55" s="14"/>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row>
    <row r="56" spans="1:35" ht="139.5" hidden="1" x14ac:dyDescent="0.35">
      <c r="A56" s="1"/>
      <c r="B56" s="178" t="s">
        <v>63</v>
      </c>
      <c r="C56" s="43"/>
      <c r="D56" s="14"/>
      <c r="E56" s="1" t="s">
        <v>35</v>
      </c>
      <c r="F56" s="11">
        <v>6100</v>
      </c>
      <c r="G56" s="11">
        <v>6252.4999999999991</v>
      </c>
      <c r="H56" s="11">
        <v>6408.8124999999982</v>
      </c>
      <c r="I56" s="11">
        <v>6569.0328124999978</v>
      </c>
      <c r="J56" s="11">
        <v>6733.2586328124971</v>
      </c>
      <c r="K56" s="11">
        <v>6901.5900986328088</v>
      </c>
      <c r="L56" s="11">
        <v>7074.129851098628</v>
      </c>
      <c r="M56" s="11">
        <v>7250.9830973760927</v>
      </c>
      <c r="N56" s="11">
        <v>7432.2576748104948</v>
      </c>
      <c r="O56" s="11">
        <v>7618.0641166807563</v>
      </c>
      <c r="P56" s="11">
        <v>7808.5157195977745</v>
      </c>
      <c r="Q56" s="11">
        <v>8003.7286125877181</v>
      </c>
      <c r="R56" s="11">
        <v>8203.8218279024095</v>
      </c>
      <c r="S56" s="11">
        <v>8408.9173735999684</v>
      </c>
      <c r="T56" s="11">
        <v>8619.1403079399661</v>
      </c>
      <c r="U56" s="11">
        <v>8834.6188156384651</v>
      </c>
      <c r="V56" s="11">
        <v>9055.4842860294266</v>
      </c>
      <c r="W56" s="11">
        <v>9281.8713931801612</v>
      </c>
      <c r="X56" s="11">
        <v>9513.9181780096642</v>
      </c>
      <c r="Y56" s="11">
        <v>9751.7661324599048</v>
      </c>
      <c r="Z56" s="11">
        <v>9995.5602857714021</v>
      </c>
      <c r="AA56" s="11"/>
      <c r="AB56" s="11"/>
      <c r="AC56" s="11"/>
      <c r="AD56" s="11"/>
      <c r="AE56" s="11"/>
      <c r="AF56" s="11"/>
      <c r="AG56" s="11"/>
      <c r="AH56" s="11"/>
      <c r="AI56" s="11"/>
    </row>
    <row r="57" spans="1:35" hidden="1" x14ac:dyDescent="0.35">
      <c r="A57" s="1"/>
      <c r="B57" s="44"/>
      <c r="C57" s="43"/>
      <c r="D57" s="14"/>
      <c r="E57" s="1" t="s">
        <v>36</v>
      </c>
      <c r="F57" s="11">
        <v>3900</v>
      </c>
      <c r="G57" s="11">
        <v>3997.4999999999995</v>
      </c>
      <c r="H57" s="11">
        <v>4097.4374999999991</v>
      </c>
      <c r="I57" s="11">
        <v>4199.8734374999985</v>
      </c>
      <c r="J57" s="11">
        <v>4304.8702734374983</v>
      </c>
      <c r="K57" s="11">
        <v>4412.4920302734354</v>
      </c>
      <c r="L57" s="11">
        <v>4522.804331030271</v>
      </c>
      <c r="M57" s="11">
        <v>4635.8744393060269</v>
      </c>
      <c r="N57" s="11">
        <v>4751.7713002886776</v>
      </c>
      <c r="O57" s="11">
        <v>4870.5655827958944</v>
      </c>
      <c r="P57" s="11">
        <v>4992.329722365791</v>
      </c>
      <c r="Q57" s="11">
        <v>5117.1379654249349</v>
      </c>
      <c r="R57" s="11">
        <v>5245.0664145605579</v>
      </c>
      <c r="S57" s="11">
        <v>5376.1930749245712</v>
      </c>
      <c r="T57" s="11">
        <v>5510.5979017976852</v>
      </c>
      <c r="U57" s="11">
        <v>5648.3628493426268</v>
      </c>
      <c r="V57" s="11">
        <v>5789.5719205761916</v>
      </c>
      <c r="W57" s="11">
        <v>5934.3112185905957</v>
      </c>
      <c r="X57" s="11">
        <v>6082.6689990553605</v>
      </c>
      <c r="Y57" s="11">
        <v>6234.7357240317442</v>
      </c>
      <c r="Z57" s="11">
        <v>6390.6041171325369</v>
      </c>
      <c r="AA57" s="11"/>
      <c r="AB57" s="11"/>
      <c r="AC57" s="11"/>
      <c r="AD57" s="11"/>
      <c r="AE57" s="11"/>
      <c r="AF57" s="11"/>
      <c r="AG57" s="11"/>
      <c r="AH57" s="11"/>
      <c r="AI57" s="11"/>
    </row>
    <row r="58" spans="1:35" hidden="1" x14ac:dyDescent="0.35">
      <c r="A58" s="1"/>
      <c r="B58" s="44"/>
      <c r="C58" s="43"/>
      <c r="D58" s="14"/>
      <c r="E58" s="1" t="s">
        <v>37</v>
      </c>
      <c r="F58" s="11">
        <v>10000</v>
      </c>
      <c r="G58" s="11">
        <v>10250</v>
      </c>
      <c r="H58" s="11">
        <v>10506.249999999998</v>
      </c>
      <c r="I58" s="11">
        <v>10768.906249999996</v>
      </c>
      <c r="J58" s="11">
        <v>11038.128906249995</v>
      </c>
      <c r="K58" s="11">
        <v>11314.082128906244</v>
      </c>
      <c r="L58" s="11">
        <v>11596.9341821289</v>
      </c>
      <c r="M58" s="11">
        <v>11886.857536682121</v>
      </c>
      <c r="N58" s="11">
        <v>12184.028975099172</v>
      </c>
      <c r="O58" s="11">
        <v>12488.629699476651</v>
      </c>
      <c r="P58" s="11">
        <v>12800.845441963565</v>
      </c>
      <c r="Q58" s="11">
        <v>13120.866578012654</v>
      </c>
      <c r="R58" s="11">
        <v>13448.888242462968</v>
      </c>
      <c r="S58" s="11">
        <v>13785.110448524541</v>
      </c>
      <c r="T58" s="11">
        <v>14129.738209737654</v>
      </c>
      <c r="U58" s="11">
        <v>14482.981664981095</v>
      </c>
      <c r="V58" s="11">
        <v>14845.056206605621</v>
      </c>
      <c r="W58" s="11">
        <v>15216.182611770761</v>
      </c>
      <c r="X58" s="11">
        <v>15596.587177065028</v>
      </c>
      <c r="Y58" s="11">
        <v>15986.501856491652</v>
      </c>
      <c r="Z58" s="11">
        <v>16386.164402903942</v>
      </c>
      <c r="AA58" s="11"/>
      <c r="AB58" s="11"/>
      <c r="AC58" s="11"/>
      <c r="AD58" s="11"/>
      <c r="AE58" s="11"/>
      <c r="AF58" s="11"/>
      <c r="AG58" s="11"/>
      <c r="AH58" s="11"/>
      <c r="AI58" s="11"/>
    </row>
    <row r="59" spans="1:35" hidden="1" x14ac:dyDescent="0.35">
      <c r="A59" s="1"/>
      <c r="B59" s="44"/>
      <c r="C59" s="43"/>
      <c r="D59" s="14"/>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row>
    <row r="60" spans="1:35" hidden="1" x14ac:dyDescent="0.35">
      <c r="A60" s="1"/>
      <c r="B60" s="44"/>
      <c r="C60" s="43"/>
      <c r="D60" s="14"/>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row>
    <row r="61" spans="1:35" hidden="1" x14ac:dyDescent="0.35">
      <c r="A61" s="1"/>
      <c r="B61" s="44"/>
      <c r="C61" s="43"/>
      <c r="D61" s="14"/>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row>
    <row r="62" spans="1:35" hidden="1" x14ac:dyDescent="0.35">
      <c r="A62" s="1"/>
      <c r="B62" s="44"/>
      <c r="C62" s="43"/>
      <c r="D62" s="14"/>
      <c r="E62" s="179">
        <v>0</v>
      </c>
      <c r="F62" s="8">
        <v>0</v>
      </c>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row>
    <row r="63" spans="1:35" hidden="1" x14ac:dyDescent="0.35">
      <c r="A63" s="1"/>
      <c r="B63" s="44"/>
      <c r="C63" s="43"/>
      <c r="D63" s="14"/>
      <c r="E63" s="179">
        <v>0.1</v>
      </c>
      <c r="F63" s="8">
        <v>8925</v>
      </c>
      <c r="G63" s="11">
        <v>9148.125</v>
      </c>
      <c r="H63" s="11">
        <v>9376.828125</v>
      </c>
      <c r="I63" s="11">
        <v>9611.2488281249989</v>
      </c>
      <c r="J63" s="11">
        <v>9851.5300488281227</v>
      </c>
      <c r="K63" s="11">
        <v>10097.818300048824</v>
      </c>
      <c r="L63" s="11">
        <v>10350.263757550045</v>
      </c>
      <c r="M63" s="11">
        <v>10609.020351488794</v>
      </c>
      <c r="N63" s="11">
        <v>10874.245860276013</v>
      </c>
      <c r="O63" s="11">
        <v>11146.102006782912</v>
      </c>
      <c r="P63" s="11">
        <v>11424.754556952485</v>
      </c>
      <c r="Q63" s="11">
        <v>11710.373420876296</v>
      </c>
      <c r="R63" s="11">
        <v>12003.132756398203</v>
      </c>
      <c r="S63" s="11">
        <v>12303.211075308158</v>
      </c>
      <c r="T63" s="11">
        <v>12610.791352190861</v>
      </c>
      <c r="U63" s="11">
        <v>12926.061135995631</v>
      </c>
      <c r="V63" s="11">
        <v>13249.21266439552</v>
      </c>
      <c r="W63" s="11">
        <v>13580.442981005406</v>
      </c>
      <c r="X63" s="11">
        <v>13919.954055530539</v>
      </c>
      <c r="Y63" s="11">
        <v>14267.952906918801</v>
      </c>
      <c r="Z63" s="11">
        <v>14624.651729591769</v>
      </c>
      <c r="AA63" s="11"/>
      <c r="AB63" s="11"/>
      <c r="AC63" s="11"/>
      <c r="AD63" s="11"/>
      <c r="AE63" s="11"/>
      <c r="AF63" s="11"/>
      <c r="AG63" s="11"/>
      <c r="AH63" s="11"/>
      <c r="AI63" s="11"/>
    </row>
    <row r="64" spans="1:35" hidden="1" x14ac:dyDescent="0.35">
      <c r="A64" s="1"/>
      <c r="B64" s="44"/>
      <c r="C64" s="43"/>
      <c r="D64" s="14"/>
      <c r="E64" s="179">
        <v>0.15</v>
      </c>
      <c r="F64" s="8">
        <v>36250</v>
      </c>
      <c r="G64" s="11">
        <v>37156.25</v>
      </c>
      <c r="H64" s="11">
        <v>38085.15625</v>
      </c>
      <c r="I64" s="11">
        <v>39037.28515625</v>
      </c>
      <c r="J64" s="11">
        <v>40013.21728515625</v>
      </c>
      <c r="K64" s="11">
        <v>41013.547717285153</v>
      </c>
      <c r="L64" s="11">
        <v>42038.886410217281</v>
      </c>
      <c r="M64" s="11">
        <v>43089.858570472708</v>
      </c>
      <c r="N64" s="11">
        <v>44167.105034734523</v>
      </c>
      <c r="O64" s="11">
        <v>45271.282660602883</v>
      </c>
      <c r="P64" s="11">
        <v>46403.064727117948</v>
      </c>
      <c r="Q64" s="11">
        <v>47563.141345295895</v>
      </c>
      <c r="R64" s="11">
        <v>48752.219878928285</v>
      </c>
      <c r="S64" s="11">
        <v>49971.025375901489</v>
      </c>
      <c r="T64" s="11">
        <v>51220.301010299023</v>
      </c>
      <c r="U64" s="11">
        <v>52500.808535556491</v>
      </c>
      <c r="V64" s="11">
        <v>53813.328748945401</v>
      </c>
      <c r="W64" s="11">
        <v>55158.661967669032</v>
      </c>
      <c r="X64" s="11">
        <v>56537.62851686075</v>
      </c>
      <c r="Y64" s="11">
        <v>57951.069229782261</v>
      </c>
      <c r="Z64" s="11">
        <v>59399.845960526814</v>
      </c>
      <c r="AA64" s="11"/>
      <c r="AB64" s="11"/>
      <c r="AC64" s="11"/>
      <c r="AD64" s="11"/>
      <c r="AE64" s="11"/>
      <c r="AF64" s="11"/>
      <c r="AG64" s="11"/>
      <c r="AH64" s="11"/>
      <c r="AI64" s="11"/>
    </row>
    <row r="65" spans="1:35" hidden="1" x14ac:dyDescent="0.35">
      <c r="A65" s="1"/>
      <c r="B65" s="44"/>
      <c r="C65" s="43"/>
      <c r="D65" s="14"/>
      <c r="E65" s="179">
        <v>0.25</v>
      </c>
      <c r="F65" s="8">
        <v>87850</v>
      </c>
      <c r="G65" s="11">
        <v>90046.249999999985</v>
      </c>
      <c r="H65" s="11">
        <v>92297.406249999971</v>
      </c>
      <c r="I65" s="11">
        <v>94604.841406249965</v>
      </c>
      <c r="J65" s="11">
        <v>96969.962441406213</v>
      </c>
      <c r="K65" s="11">
        <v>99394.211502441365</v>
      </c>
      <c r="L65" s="11">
        <v>101879.06679000238</v>
      </c>
      <c r="M65" s="11">
        <v>104426.04345975243</v>
      </c>
      <c r="N65" s="11">
        <v>107036.69454624623</v>
      </c>
      <c r="O65" s="11">
        <v>109712.61190990238</v>
      </c>
      <c r="P65" s="11">
        <v>112455.42720764993</v>
      </c>
      <c r="Q65" s="11">
        <v>115266.81288784117</v>
      </c>
      <c r="R65" s="11">
        <v>118148.48321003719</v>
      </c>
      <c r="S65" s="11">
        <v>121102.1952902881</v>
      </c>
      <c r="T65" s="11">
        <v>124129.75017254529</v>
      </c>
      <c r="U65" s="11">
        <v>127232.99392685891</v>
      </c>
      <c r="V65" s="11">
        <v>130413.81877503036</v>
      </c>
      <c r="W65" s="11">
        <v>133674.1642444061</v>
      </c>
      <c r="X65" s="11">
        <v>137016.01835051624</v>
      </c>
      <c r="Y65" s="11">
        <v>140441.41880927913</v>
      </c>
      <c r="Z65" s="11">
        <v>143952.45427951109</v>
      </c>
      <c r="AA65" s="11"/>
      <c r="AB65" s="11"/>
      <c r="AC65" s="11"/>
      <c r="AD65" s="11"/>
      <c r="AE65" s="11"/>
      <c r="AF65" s="11"/>
      <c r="AG65" s="11"/>
      <c r="AH65" s="11"/>
      <c r="AI65" s="11"/>
    </row>
    <row r="66" spans="1:35" hidden="1" x14ac:dyDescent="0.35">
      <c r="A66" s="1"/>
      <c r="B66" s="44"/>
      <c r="C66" s="43"/>
      <c r="D66" s="14"/>
      <c r="E66" s="179">
        <v>0.28000000000000003</v>
      </c>
      <c r="F66" s="112">
        <v>183250</v>
      </c>
      <c r="G66" s="11">
        <v>187831.24999999997</v>
      </c>
      <c r="H66" s="11">
        <v>192527.03124999994</v>
      </c>
      <c r="I66" s="11">
        <v>197340.20703124991</v>
      </c>
      <c r="J66" s="11">
        <v>202273.71220703115</v>
      </c>
      <c r="K66" s="11">
        <v>207330.5550122069</v>
      </c>
      <c r="L66" s="11">
        <v>212513.81888751205</v>
      </c>
      <c r="M66" s="11">
        <v>217826.66435969985</v>
      </c>
      <c r="N66" s="11">
        <v>223272.33096869232</v>
      </c>
      <c r="O66" s="11">
        <v>228854.13924290962</v>
      </c>
      <c r="P66" s="11">
        <v>234575.49272398234</v>
      </c>
      <c r="Q66" s="11">
        <v>240439.88004208187</v>
      </c>
      <c r="R66" s="11">
        <v>246450.87704313389</v>
      </c>
      <c r="S66" s="11">
        <v>252612.14896921223</v>
      </c>
      <c r="T66" s="11">
        <v>258927.45269344252</v>
      </c>
      <c r="U66" s="11">
        <v>265400.63901077857</v>
      </c>
      <c r="V66" s="11">
        <v>272035.654986048</v>
      </c>
      <c r="W66" s="11">
        <v>278836.54636069917</v>
      </c>
      <c r="X66" s="11">
        <v>285807.46001971664</v>
      </c>
      <c r="Y66" s="11">
        <v>292952.64652020956</v>
      </c>
      <c r="Z66" s="11">
        <v>300276.46268321475</v>
      </c>
      <c r="AA66" s="11"/>
      <c r="AB66" s="11"/>
      <c r="AC66" s="11"/>
      <c r="AD66" s="11"/>
      <c r="AE66" s="11"/>
      <c r="AF66" s="11"/>
      <c r="AG66" s="11"/>
      <c r="AH66" s="11"/>
      <c r="AI66" s="11"/>
    </row>
    <row r="67" spans="1:35" hidden="1" x14ac:dyDescent="0.35">
      <c r="A67" s="1"/>
      <c r="B67" s="44"/>
      <c r="C67" s="43"/>
      <c r="D67" s="14"/>
      <c r="E67" s="179">
        <v>0.33</v>
      </c>
      <c r="F67" s="8">
        <v>398350</v>
      </c>
      <c r="G67" s="11">
        <v>408308.74999999994</v>
      </c>
      <c r="H67" s="11">
        <v>418516.46874999988</v>
      </c>
      <c r="I67" s="11">
        <v>428979.38046874985</v>
      </c>
      <c r="J67" s="11">
        <v>439703.86498046858</v>
      </c>
      <c r="K67" s="11">
        <v>450696.46160498029</v>
      </c>
      <c r="L67" s="11">
        <v>461963.87314510474</v>
      </c>
      <c r="M67" s="11">
        <v>473512.96997373231</v>
      </c>
      <c r="N67" s="11">
        <v>485350.79422307556</v>
      </c>
      <c r="O67" s="11">
        <v>497484.56407865242</v>
      </c>
      <c r="P67" s="11">
        <v>509921.67818061868</v>
      </c>
      <c r="Q67" s="11">
        <v>522669.72013513412</v>
      </c>
      <c r="R67" s="11">
        <v>535736.46313851245</v>
      </c>
      <c r="S67" s="11">
        <v>549129.87471697526</v>
      </c>
      <c r="T67" s="11">
        <v>562858.12158489961</v>
      </c>
      <c r="U67" s="11">
        <v>576929.57462452201</v>
      </c>
      <c r="V67" s="11">
        <v>591352.81399013498</v>
      </c>
      <c r="W67" s="11">
        <v>606136.63433988835</v>
      </c>
      <c r="X67" s="11">
        <v>621290.05019838549</v>
      </c>
      <c r="Y67" s="11">
        <v>636822.30145334511</v>
      </c>
      <c r="Z67" s="11">
        <v>652742.85898967867</v>
      </c>
      <c r="AA67" s="11"/>
      <c r="AB67" s="11"/>
      <c r="AC67" s="11"/>
      <c r="AD67" s="11"/>
      <c r="AE67" s="11"/>
      <c r="AF67" s="11"/>
      <c r="AG67" s="11"/>
      <c r="AH67" s="11"/>
      <c r="AI67" s="11"/>
    </row>
    <row r="68" spans="1:35" hidden="1" x14ac:dyDescent="0.35">
      <c r="A68" s="1"/>
      <c r="B68" s="44"/>
      <c r="C68" s="43"/>
      <c r="D68" s="14"/>
      <c r="E68" s="179">
        <v>0.35</v>
      </c>
      <c r="F68" s="78">
        <v>400000</v>
      </c>
      <c r="G68" s="11">
        <v>409999.99999999994</v>
      </c>
      <c r="H68" s="11">
        <v>420249.99999999988</v>
      </c>
      <c r="I68" s="11">
        <v>430756.24999999983</v>
      </c>
      <c r="J68" s="11">
        <v>441525.15624999977</v>
      </c>
      <c r="K68" s="11">
        <v>452563.28515624971</v>
      </c>
      <c r="L68" s="11">
        <v>463877.36728515592</v>
      </c>
      <c r="M68" s="11">
        <v>475474.30146728479</v>
      </c>
      <c r="N68" s="11">
        <v>487361.1590039669</v>
      </c>
      <c r="O68" s="11">
        <v>499545.18797906605</v>
      </c>
      <c r="P68" s="11">
        <v>512033.81767854263</v>
      </c>
      <c r="Q68" s="11">
        <v>524834.6631205061</v>
      </c>
      <c r="R68" s="11">
        <v>537955.52969851869</v>
      </c>
      <c r="S68" s="11">
        <v>551404.41794098157</v>
      </c>
      <c r="T68" s="11">
        <v>565189.52838950604</v>
      </c>
      <c r="U68" s="11">
        <v>579319.26659924362</v>
      </c>
      <c r="V68" s="11">
        <v>593802.24826422462</v>
      </c>
      <c r="W68" s="11">
        <v>608647.30447083013</v>
      </c>
      <c r="X68" s="11">
        <v>623863.48708260083</v>
      </c>
      <c r="Y68" s="11">
        <v>639460.07425966579</v>
      </c>
      <c r="Z68" s="11">
        <v>655446.57611615735</v>
      </c>
      <c r="AA68" s="11"/>
      <c r="AB68" s="11"/>
      <c r="AC68" s="11"/>
      <c r="AD68" s="11"/>
      <c r="AE68" s="11"/>
      <c r="AF68" s="11"/>
      <c r="AG68" s="11"/>
      <c r="AH68" s="11"/>
      <c r="AI68" s="11"/>
    </row>
    <row r="69" spans="1:35" hidden="1" x14ac:dyDescent="0.35">
      <c r="A69" s="1"/>
      <c r="B69" s="44"/>
      <c r="C69" s="43"/>
      <c r="D69" s="14"/>
      <c r="E69" s="180">
        <v>0.39600000000000002</v>
      </c>
      <c r="F69" s="11"/>
      <c r="G69" s="11"/>
      <c r="H69" s="11"/>
      <c r="I69" s="11"/>
      <c r="J69" s="11"/>
      <c r="K69" s="11"/>
      <c r="L69" s="11"/>
      <c r="M69" s="11"/>
      <c r="N69" s="11"/>
      <c r="O69" s="11"/>
      <c r="P69" s="11"/>
      <c r="Q69" s="11"/>
      <c r="R69" s="11"/>
      <c r="S69" s="11"/>
      <c r="T69" s="11"/>
      <c r="U69" s="11"/>
      <c r="V69" s="11"/>
      <c r="W69" s="11"/>
      <c r="X69" s="11"/>
      <c r="Y69" s="11"/>
      <c r="Z69" s="11"/>
      <c r="AA69" s="11" t="s">
        <v>86</v>
      </c>
      <c r="AB69" s="11"/>
      <c r="AC69" s="11"/>
      <c r="AD69" s="11"/>
      <c r="AE69" s="11"/>
      <c r="AF69" s="11"/>
      <c r="AG69" s="11"/>
      <c r="AH69" s="11"/>
      <c r="AI69" s="11"/>
    </row>
    <row r="70" spans="1:35" hidden="1" x14ac:dyDescent="0.35">
      <c r="A70" s="1"/>
      <c r="B70" s="44"/>
      <c r="C70" s="43"/>
      <c r="D70" s="14"/>
      <c r="F70" s="11"/>
      <c r="G70" s="11"/>
      <c r="H70" s="11"/>
      <c r="I70" s="11"/>
      <c r="J70" s="11"/>
      <c r="K70" s="11"/>
      <c r="L70" s="11"/>
      <c r="M70" s="11"/>
      <c r="N70" s="11"/>
      <c r="O70" s="11"/>
      <c r="P70" s="11"/>
      <c r="Q70" s="11"/>
      <c r="R70" s="11"/>
      <c r="S70" s="11"/>
      <c r="T70" s="11"/>
      <c r="U70" s="11"/>
      <c r="V70" s="11"/>
      <c r="W70" s="11"/>
      <c r="X70" s="11" t="s">
        <v>38</v>
      </c>
      <c r="Y70" s="11"/>
      <c r="Z70" s="11">
        <f>(Z76-Z58)+D33</f>
        <v>1008341.9104134482</v>
      </c>
      <c r="AA70" s="11">
        <f>(Z76-Z58)+D32</f>
        <v>891167.67051016318</v>
      </c>
      <c r="AB70" s="11">
        <f>(Z76-Z58)+D41</f>
        <v>1249930.6653062163</v>
      </c>
      <c r="AC70" s="11">
        <f>(Z76-Z58)+D43</f>
        <v>1116796.4277954511</v>
      </c>
      <c r="AD70" s="11"/>
      <c r="AE70" s="11"/>
      <c r="AF70" s="11"/>
      <c r="AG70" s="11"/>
      <c r="AH70" s="11"/>
      <c r="AI70" s="11"/>
    </row>
    <row r="71" spans="1:35" hidden="1" x14ac:dyDescent="0.35">
      <c r="A71" s="1"/>
      <c r="B71" s="44"/>
      <c r="C71" s="43"/>
      <c r="D71" s="14"/>
      <c r="E71" s="11" t="s">
        <v>39</v>
      </c>
      <c r="F71" s="11">
        <v>0</v>
      </c>
      <c r="G71" s="11">
        <v>0</v>
      </c>
      <c r="H71" s="11">
        <v>0</v>
      </c>
      <c r="I71" s="11">
        <v>0</v>
      </c>
      <c r="J71" s="11">
        <v>0</v>
      </c>
      <c r="K71" s="11">
        <v>0</v>
      </c>
      <c r="L71" s="11">
        <v>0</v>
      </c>
      <c r="M71" s="11">
        <v>0</v>
      </c>
      <c r="N71" s="11">
        <v>0</v>
      </c>
      <c r="O71" s="11">
        <v>0</v>
      </c>
      <c r="P71" s="11">
        <v>0</v>
      </c>
      <c r="Q71" s="11">
        <v>0</v>
      </c>
      <c r="R71" s="11">
        <v>0</v>
      </c>
      <c r="S71" s="11">
        <v>0</v>
      </c>
      <c r="T71" s="11">
        <v>0</v>
      </c>
      <c r="U71" s="11">
        <v>0</v>
      </c>
      <c r="V71" s="11">
        <v>0</v>
      </c>
      <c r="W71" s="11">
        <v>0</v>
      </c>
      <c r="X71" s="11">
        <v>0</v>
      </c>
      <c r="Y71" s="11">
        <v>0</v>
      </c>
      <c r="Z71" s="11">
        <f>IF(
Z70&lt;=Z63,
D33*E63,
IF(
Z70&lt;=Z64,
D33*E64,
IF(
Z70&lt;=Z65,
D33*E65,
IF(
Z70&lt;=Z66,
D33*E66,
IF(
Z70&lt;=Z67,
D33*E67,
IF(
Z70&lt;=Z68,
D33*E68,
D33*E69
))))))</f>
        <v>46400.999001700889</v>
      </c>
      <c r="AA71" s="181">
        <f>IF(
AA70&lt;=Z63,
D32*E63,
IF(
AA70&lt;=Z64,
D32*E64,
IF(
AA70&lt;=Z65,
D32*E65,
IF(
AA70&lt;=Z66,
D32*E66,
IF(
AA70&lt;=Z67,
D32*E67,
IF(
AA70&lt;=Z68,
D32*E68,
D32*E69
))))))</f>
        <v>0</v>
      </c>
      <c r="AB71" s="11">
        <f>IF(
AB70&lt;=Z63,
D41*E63,
IF(
AB70&lt;=Z64,
D41*E64,
IF(
AB70&lt;=Z65,
D41*E65,
IF(
AB70&lt;=Z66,
D41*E66,
IF(
AB70&lt;=Z67,
D41*E67,
IF(
AB70&lt;=Z68,
D41*E68,
D41*E69
))))))</f>
        <v>142070.14593923706</v>
      </c>
      <c r="AC71" s="11">
        <f>IF(
AC70&lt;=Z63,
D43*E63,
IF(
AC70&lt;=Z64,
D43*E64,
IF(
AC70&lt;=Z65,
D43*E65,
IF(
AC70&lt;=Z66,
D43*E66,
IF(
AC70&lt;=Z67,
D43*E67,
IF(
AC70&lt;=Z68,
D43*E68,
D43*E69
))))))</f>
        <v>89348.987884974063</v>
      </c>
      <c r="AD71" s="11"/>
      <c r="AE71" s="11"/>
      <c r="AF71" s="11"/>
      <c r="AG71" s="11"/>
      <c r="AH71" s="11"/>
      <c r="AI71" s="11"/>
    </row>
    <row r="72" spans="1:35" x14ac:dyDescent="0.35">
      <c r="A72" s="1"/>
      <c r="B72" s="44"/>
      <c r="C72" s="43"/>
      <c r="D72" s="14"/>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row>
    <row r="73" spans="1:35" x14ac:dyDescent="0.35">
      <c r="B73" s="2"/>
      <c r="C73" s="279" t="s">
        <v>17</v>
      </c>
      <c r="D73" s="279"/>
      <c r="E73" s="279"/>
      <c r="F73" s="9">
        <v>1</v>
      </c>
      <c r="G73" s="9">
        <f t="shared" ref="G73:AD73" si="2">F73+1</f>
        <v>2</v>
      </c>
      <c r="H73" s="9">
        <f t="shared" si="2"/>
        <v>3</v>
      </c>
      <c r="I73" s="9">
        <f t="shared" si="2"/>
        <v>4</v>
      </c>
      <c r="J73" s="9">
        <f t="shared" si="2"/>
        <v>5</v>
      </c>
      <c r="K73" s="9">
        <f t="shared" si="2"/>
        <v>6</v>
      </c>
      <c r="L73" s="9">
        <f t="shared" si="2"/>
        <v>7</v>
      </c>
      <c r="M73" s="9">
        <f t="shared" si="2"/>
        <v>8</v>
      </c>
      <c r="N73" s="9">
        <f t="shared" si="2"/>
        <v>9</v>
      </c>
      <c r="O73" s="9">
        <f t="shared" si="2"/>
        <v>10</v>
      </c>
      <c r="P73" s="9">
        <f t="shared" si="2"/>
        <v>11</v>
      </c>
      <c r="Q73" s="9">
        <f t="shared" si="2"/>
        <v>12</v>
      </c>
      <c r="R73" s="9">
        <f t="shared" si="2"/>
        <v>13</v>
      </c>
      <c r="S73" s="9">
        <f t="shared" si="2"/>
        <v>14</v>
      </c>
      <c r="T73" s="9">
        <f t="shared" si="2"/>
        <v>15</v>
      </c>
      <c r="U73" s="9">
        <f t="shared" si="2"/>
        <v>16</v>
      </c>
      <c r="V73" s="9">
        <f t="shared" si="2"/>
        <v>17</v>
      </c>
      <c r="W73" s="9">
        <f t="shared" si="2"/>
        <v>18</v>
      </c>
      <c r="X73" s="9">
        <f t="shared" si="2"/>
        <v>19</v>
      </c>
      <c r="Y73" s="9">
        <f t="shared" si="2"/>
        <v>20</v>
      </c>
      <c r="Z73" s="9">
        <f t="shared" si="2"/>
        <v>21</v>
      </c>
      <c r="AA73" s="9">
        <f t="shared" si="2"/>
        <v>22</v>
      </c>
      <c r="AB73" s="9">
        <f t="shared" si="2"/>
        <v>23</v>
      </c>
      <c r="AC73" s="9">
        <f t="shared" si="2"/>
        <v>24</v>
      </c>
      <c r="AD73" s="9">
        <f t="shared" si="2"/>
        <v>25</v>
      </c>
      <c r="AE73" s="9"/>
      <c r="AF73" s="9"/>
      <c r="AG73" s="9"/>
      <c r="AH73" s="9">
        <v>29</v>
      </c>
      <c r="AI73" s="9">
        <v>30</v>
      </c>
    </row>
    <row r="74" spans="1:35" x14ac:dyDescent="0.35">
      <c r="B74" s="29" t="s">
        <v>75</v>
      </c>
      <c r="C74" s="75" t="s">
        <v>93</v>
      </c>
      <c r="D74" s="75"/>
      <c r="E74" s="75"/>
      <c r="F74" s="40">
        <v>0</v>
      </c>
      <c r="G74" s="40">
        <v>0</v>
      </c>
      <c r="H74" s="40">
        <v>0</v>
      </c>
      <c r="I74" s="40">
        <v>0</v>
      </c>
      <c r="J74" s="40">
        <v>0</v>
      </c>
      <c r="K74" s="40">
        <v>0</v>
      </c>
      <c r="L74" s="40">
        <v>0</v>
      </c>
      <c r="M74" s="40">
        <v>0</v>
      </c>
      <c r="N74" s="40">
        <v>0</v>
      </c>
      <c r="O74" s="40">
        <v>0</v>
      </c>
      <c r="P74" s="40">
        <v>0</v>
      </c>
      <c r="Q74" s="40">
        <v>0</v>
      </c>
      <c r="R74" s="40">
        <v>0</v>
      </c>
      <c r="S74" s="40">
        <v>0</v>
      </c>
      <c r="T74" s="40">
        <v>0</v>
      </c>
      <c r="U74" s="40">
        <v>0</v>
      </c>
      <c r="V74" s="40">
        <v>0</v>
      </c>
      <c r="W74" s="40">
        <v>0</v>
      </c>
      <c r="X74" s="40">
        <v>0</v>
      </c>
      <c r="Y74" s="40">
        <v>0</v>
      </c>
      <c r="Z74" s="40">
        <v>0</v>
      </c>
      <c r="AA74" s="40">
        <v>0</v>
      </c>
      <c r="AB74" s="40">
        <v>0</v>
      </c>
      <c r="AC74" s="40">
        <v>0</v>
      </c>
      <c r="AD74" s="40">
        <v>0</v>
      </c>
    </row>
    <row r="75" spans="1:35" x14ac:dyDescent="0.35">
      <c r="A75" s="1"/>
      <c r="B75" s="18" t="s">
        <v>75</v>
      </c>
      <c r="C75" s="274" t="s">
        <v>32</v>
      </c>
      <c r="D75" s="274"/>
      <c r="E75" s="274"/>
      <c r="F75" s="182">
        <v>80000</v>
      </c>
      <c r="G75" s="182">
        <v>105000</v>
      </c>
      <c r="H75" s="182">
        <v>178000</v>
      </c>
      <c r="I75" s="182">
        <v>350000</v>
      </c>
      <c r="J75" s="182">
        <f>I75*1.03</f>
        <v>360500</v>
      </c>
      <c r="K75" s="182">
        <f t="shared" ref="K75:AD75" si="3">J75*1.03</f>
        <v>371315</v>
      </c>
      <c r="L75" s="182">
        <v>600000</v>
      </c>
      <c r="M75" s="182">
        <f t="shared" si="3"/>
        <v>618000</v>
      </c>
      <c r="N75" s="182">
        <f t="shared" si="3"/>
        <v>636540</v>
      </c>
      <c r="O75" s="182">
        <f t="shared" si="3"/>
        <v>655636.20000000007</v>
      </c>
      <c r="P75" s="182">
        <f t="shared" si="3"/>
        <v>675305.28600000008</v>
      </c>
      <c r="Q75" s="182">
        <f t="shared" si="3"/>
        <v>695564.44458000013</v>
      </c>
      <c r="R75" s="182">
        <f t="shared" si="3"/>
        <v>716431.3779174001</v>
      </c>
      <c r="S75" s="182">
        <f t="shared" si="3"/>
        <v>737924.3192549221</v>
      </c>
      <c r="T75" s="182">
        <f t="shared" si="3"/>
        <v>760062.04883256974</v>
      </c>
      <c r="U75" s="182">
        <f t="shared" si="3"/>
        <v>782863.91029754688</v>
      </c>
      <c r="V75" s="182">
        <f t="shared" si="3"/>
        <v>806349.82760647335</v>
      </c>
      <c r="W75" s="182">
        <f t="shared" si="3"/>
        <v>830540.32243466761</v>
      </c>
      <c r="X75" s="182">
        <f t="shared" si="3"/>
        <v>855456.5321077077</v>
      </c>
      <c r="Y75" s="182">
        <f t="shared" si="3"/>
        <v>881120.22807093896</v>
      </c>
      <c r="Z75" s="182">
        <f t="shared" si="3"/>
        <v>907553.83491306717</v>
      </c>
      <c r="AA75" s="182">
        <f t="shared" si="3"/>
        <v>934780.44996045926</v>
      </c>
      <c r="AB75" s="182">
        <f t="shared" si="3"/>
        <v>962823.86345927301</v>
      </c>
      <c r="AC75" s="182">
        <f t="shared" si="3"/>
        <v>991708.57936305122</v>
      </c>
      <c r="AD75" s="182">
        <f t="shared" si="3"/>
        <v>1021459.8367439428</v>
      </c>
      <c r="AE75" s="19"/>
      <c r="AF75" s="19"/>
      <c r="AG75" s="19"/>
      <c r="AH75" s="19"/>
      <c r="AI75" s="19"/>
    </row>
    <row r="76" spans="1:35" ht="16" thickBot="1" x14ac:dyDescent="0.4">
      <c r="A76" s="1"/>
      <c r="C76" s="274" t="s">
        <v>33</v>
      </c>
      <c r="D76" s="274"/>
      <c r="E76" s="274"/>
      <c r="F76" s="20">
        <f>IF(
F75&gt;200000+N("If income is greater than 200k THEN"),
F75+N("He has no exemption, so AGI is his income")+N("If income is less than or equal to 200k THEN"),
IF(
F75&gt;F53+N("If income is greater than 150k but less than or equal to 200 k THEN"),
(F75*0.99)+N("AGI is 99 percent of income")+N("If his income is less than or equal to 150k THEN"),
IF(
F75&gt;F52+N("If his income is greater than 100k but less than or equal to 150k THEN"),
(F75*0.98)+N("AGI equals 98 percent of income")+N("If his income is less than or equal to 100k THEN"),
IF(
F75&gt;F51+N("IF income is greater than 68k but less than or equal to 100k THEN"),
(F75*0.97)+N("AGI equals 97 percent of income")+N("If income less than or equal to 68k, THEN"),
(F75*0.96)+N("AGI equals 96 percent of income")))))</f>
        <v>77600</v>
      </c>
      <c r="G76" s="20">
        <f t="shared" ref="G76:AD76" si="4">IF(
G75&gt;200000+N("If income is greater than 200k THEN"),
G75+N("He has no exemption, so AGI is his income")+N("If income is less than or equal to 200k THEN"),
IF(
G75&gt;G53+N("If income is greater than 150k but less than or equal to 200 k THEN"),
(G75*0.99)+N("AGI is 99 percent of income")+N("If his income is less than or equal to 150k THEN"),
IF(
G75&gt;G52+N("If his income is greater than 100k but less than or equal to 150k THEN"),
(G75*0.98)+N("AGI equals 98 percent of income")+N("If his income is less than or equal to 100k THEN"),
IF(
G75&gt;G51+N("IF income is greater than 68k but less than or equal to 100k THEN"),
(G75*0.97)+N("AGI equals 97 percent of income")+N("If income less than or equal to 68k, THEN"),
(G75*0.96)+N("AGI equals 96 percent of income")))))</f>
        <v>102900</v>
      </c>
      <c r="H76" s="20">
        <f t="shared" si="4"/>
        <v>176220</v>
      </c>
      <c r="I76" s="20">
        <f t="shared" si="4"/>
        <v>350000</v>
      </c>
      <c r="J76" s="20">
        <f t="shared" si="4"/>
        <v>360500</v>
      </c>
      <c r="K76" s="20">
        <f t="shared" si="4"/>
        <v>371315</v>
      </c>
      <c r="L76" s="20">
        <f t="shared" si="4"/>
        <v>600000</v>
      </c>
      <c r="M76" s="20">
        <f t="shared" si="4"/>
        <v>618000</v>
      </c>
      <c r="N76" s="20">
        <f t="shared" si="4"/>
        <v>636540</v>
      </c>
      <c r="O76" s="20">
        <f t="shared" si="4"/>
        <v>655636.20000000007</v>
      </c>
      <c r="P76" s="20">
        <f t="shared" si="4"/>
        <v>675305.28600000008</v>
      </c>
      <c r="Q76" s="20">
        <f t="shared" si="4"/>
        <v>695564.44458000013</v>
      </c>
      <c r="R76" s="20">
        <f t="shared" si="4"/>
        <v>716431.3779174001</v>
      </c>
      <c r="S76" s="20">
        <f t="shared" si="4"/>
        <v>737924.3192549221</v>
      </c>
      <c r="T76" s="20">
        <f t="shared" si="4"/>
        <v>760062.04883256974</v>
      </c>
      <c r="U76" s="20">
        <f t="shared" si="4"/>
        <v>782863.91029754688</v>
      </c>
      <c r="V76" s="20">
        <f t="shared" si="4"/>
        <v>806349.82760647335</v>
      </c>
      <c r="W76" s="20">
        <f t="shared" si="4"/>
        <v>830540.32243466761</v>
      </c>
      <c r="X76" s="20">
        <f t="shared" si="4"/>
        <v>855456.5321077077</v>
      </c>
      <c r="Y76" s="20">
        <f t="shared" si="4"/>
        <v>881120.22807093896</v>
      </c>
      <c r="Z76" s="20">
        <f t="shared" si="4"/>
        <v>907553.83491306717</v>
      </c>
      <c r="AA76" s="20">
        <f t="shared" si="4"/>
        <v>934780.44996045926</v>
      </c>
      <c r="AB76" s="20">
        <f t="shared" si="4"/>
        <v>962823.86345927301</v>
      </c>
      <c r="AC76" s="20">
        <f t="shared" si="4"/>
        <v>991708.57936305122</v>
      </c>
      <c r="AD76" s="20">
        <f t="shared" si="4"/>
        <v>1021459.8367439428</v>
      </c>
      <c r="AE76" s="20"/>
      <c r="AF76" s="20"/>
      <c r="AG76" s="20"/>
      <c r="AH76" s="20"/>
      <c r="AI76" s="20"/>
    </row>
    <row r="77" spans="1:35" x14ac:dyDescent="0.35">
      <c r="B77" s="85" t="s">
        <v>44</v>
      </c>
      <c r="C77" s="86"/>
      <c r="D77" s="90"/>
      <c r="F77" s="19">
        <f t="shared" ref="F77:AD77" si="5">(F78+(F74*F79))*1.5</f>
        <v>17655</v>
      </c>
      <c r="G77" s="19">
        <f t="shared" si="5"/>
        <v>18098.140500000001</v>
      </c>
      <c r="H77" s="19">
        <f t="shared" si="5"/>
        <v>18552.403826549998</v>
      </c>
      <c r="I77" s="19">
        <f t="shared" si="5"/>
        <v>19018.069162596403</v>
      </c>
      <c r="J77" s="19">
        <f t="shared" si="5"/>
        <v>19495.422698577571</v>
      </c>
      <c r="K77" s="19">
        <f t="shared" si="5"/>
        <v>19984.757808311864</v>
      </c>
      <c r="L77" s="19">
        <f t="shared" si="5"/>
        <v>20486.375229300491</v>
      </c>
      <c r="M77" s="19">
        <f t="shared" si="5"/>
        <v>21000.583247555929</v>
      </c>
      <c r="N77" s="19">
        <f t="shared" si="5"/>
        <v>21527.697887069582</v>
      </c>
      <c r="O77" s="19">
        <f t="shared" si="5"/>
        <v>22068.043104035027</v>
      </c>
      <c r="P77" s="19">
        <f t="shared" si="5"/>
        <v>22621.950985946303</v>
      </c>
      <c r="Q77" s="19">
        <f t="shared" si="5"/>
        <v>23189.761955693553</v>
      </c>
      <c r="R77" s="19">
        <f t="shared" si="5"/>
        <v>23771.824980781457</v>
      </c>
      <c r="S77" s="19">
        <f t="shared" si="5"/>
        <v>24368.497787799068</v>
      </c>
      <c r="T77" s="19">
        <f t="shared" si="5"/>
        <v>24980.147082272822</v>
      </c>
      <c r="U77" s="19">
        <f t="shared" si="5"/>
        <v>25607.148774037865</v>
      </c>
      <c r="V77" s="19">
        <f t="shared" si="5"/>
        <v>26249.888208266217</v>
      </c>
      <c r="W77" s="19">
        <f t="shared" si="5"/>
        <v>26908.760402293698</v>
      </c>
      <c r="X77" s="19">
        <f t="shared" si="5"/>
        <v>27584.170288391266</v>
      </c>
      <c r="Y77" s="19">
        <f t="shared" si="5"/>
        <v>28276.532962629881</v>
      </c>
      <c r="Z77" s="19">
        <f t="shared" si="5"/>
        <v>28986.273939991886</v>
      </c>
      <c r="AA77" s="19">
        <f t="shared" si="5"/>
        <v>29713.829415885681</v>
      </c>
      <c r="AB77" s="19">
        <f t="shared" si="5"/>
        <v>30459.646534224408</v>
      </c>
      <c r="AC77" s="19">
        <f t="shared" si="5"/>
        <v>31224.183662233438</v>
      </c>
      <c r="AD77" s="19">
        <f t="shared" si="5"/>
        <v>32007.910672155493</v>
      </c>
      <c r="AE77" s="19"/>
      <c r="AF77" s="19"/>
      <c r="AG77" s="19"/>
      <c r="AH77" s="19"/>
      <c r="AI77" s="19"/>
    </row>
    <row r="78" spans="1:35" x14ac:dyDescent="0.35">
      <c r="B78" s="91" t="s">
        <v>46</v>
      </c>
      <c r="D78" s="92">
        <v>11770</v>
      </c>
      <c r="F78" s="19">
        <f>D78</f>
        <v>11770</v>
      </c>
      <c r="G78" s="19">
        <f>F78*1.0251</f>
        <v>12065.427</v>
      </c>
      <c r="H78" s="19">
        <f t="shared" ref="H78:AD78" si="6">G78*1.0251</f>
        <v>12368.269217699999</v>
      </c>
      <c r="I78" s="19">
        <f t="shared" si="6"/>
        <v>12678.712775064268</v>
      </c>
      <c r="J78" s="19">
        <f t="shared" si="6"/>
        <v>12996.94846571838</v>
      </c>
      <c r="K78" s="19">
        <f t="shared" si="6"/>
        <v>13323.171872207909</v>
      </c>
      <c r="L78" s="19">
        <f t="shared" si="6"/>
        <v>13657.583486200327</v>
      </c>
      <c r="M78" s="19">
        <f t="shared" si="6"/>
        <v>14000.388831703953</v>
      </c>
      <c r="N78" s="19">
        <f t="shared" si="6"/>
        <v>14351.79859137972</v>
      </c>
      <c r="O78" s="19">
        <f t="shared" si="6"/>
        <v>14712.028736023351</v>
      </c>
      <c r="P78" s="19">
        <f t="shared" si="6"/>
        <v>15081.300657297536</v>
      </c>
      <c r="Q78" s="19">
        <f t="shared" si="6"/>
        <v>15459.841303795702</v>
      </c>
      <c r="R78" s="19">
        <f t="shared" si="6"/>
        <v>15847.883320520972</v>
      </c>
      <c r="S78" s="19">
        <f t="shared" si="6"/>
        <v>16245.665191866046</v>
      </c>
      <c r="T78" s="19">
        <f t="shared" si="6"/>
        <v>16653.431388181882</v>
      </c>
      <c r="U78" s="19">
        <f t="shared" si="6"/>
        <v>17071.432516025245</v>
      </c>
      <c r="V78" s="19">
        <f t="shared" si="6"/>
        <v>17499.925472177478</v>
      </c>
      <c r="W78" s="19">
        <f t="shared" si="6"/>
        <v>17939.173601529132</v>
      </c>
      <c r="X78" s="19">
        <f t="shared" si="6"/>
        <v>18389.446858927509</v>
      </c>
      <c r="Y78" s="19">
        <f t="shared" si="6"/>
        <v>18851.021975086587</v>
      </c>
      <c r="Z78" s="19">
        <f t="shared" si="6"/>
        <v>19324.182626661259</v>
      </c>
      <c r="AA78" s="19">
        <f t="shared" si="6"/>
        <v>19809.219610590455</v>
      </c>
      <c r="AB78" s="19">
        <f t="shared" si="6"/>
        <v>20306.431022816272</v>
      </c>
      <c r="AC78" s="19">
        <f t="shared" si="6"/>
        <v>20816.122441488958</v>
      </c>
      <c r="AD78" s="19">
        <f t="shared" si="6"/>
        <v>21338.60711477033</v>
      </c>
      <c r="AE78" s="19"/>
      <c r="AF78" s="19"/>
      <c r="AG78" s="19"/>
      <c r="AH78" s="19"/>
      <c r="AI78" s="19"/>
    </row>
    <row r="79" spans="1:35" ht="16" thickBot="1" x14ac:dyDescent="0.4">
      <c r="B79" s="88" t="s">
        <v>45</v>
      </c>
      <c r="C79" s="89"/>
      <c r="D79" s="93">
        <v>4160</v>
      </c>
      <c r="F79" s="19">
        <f>D79</f>
        <v>4160</v>
      </c>
      <c r="G79" s="19">
        <f>F79*1.0258</f>
        <v>4267.3280000000004</v>
      </c>
      <c r="H79" s="19">
        <f t="shared" ref="H79:AD79" si="7">G79*1.0258</f>
        <v>4377.4250624000006</v>
      </c>
      <c r="I79" s="19">
        <f t="shared" si="7"/>
        <v>4490.362629009921</v>
      </c>
      <c r="J79" s="19">
        <f t="shared" si="7"/>
        <v>4606.2139848383767</v>
      </c>
      <c r="K79" s="19">
        <f t="shared" si="7"/>
        <v>4725.054305647207</v>
      </c>
      <c r="L79" s="19">
        <f t="shared" si="7"/>
        <v>4846.9607067329052</v>
      </c>
      <c r="M79" s="19">
        <f t="shared" si="7"/>
        <v>4972.012292966614</v>
      </c>
      <c r="N79" s="19">
        <f t="shared" si="7"/>
        <v>5100.290210125153</v>
      </c>
      <c r="O79" s="19">
        <f t="shared" si="7"/>
        <v>5231.8776975463825</v>
      </c>
      <c r="P79" s="19">
        <f t="shared" si="7"/>
        <v>5366.8601421430794</v>
      </c>
      <c r="Q79" s="19">
        <f t="shared" si="7"/>
        <v>5505.325133810371</v>
      </c>
      <c r="R79" s="19">
        <f t="shared" si="7"/>
        <v>5647.3625222626788</v>
      </c>
      <c r="S79" s="19">
        <f t="shared" si="7"/>
        <v>5793.0644753370561</v>
      </c>
      <c r="T79" s="19">
        <f t="shared" si="7"/>
        <v>5942.5255388007527</v>
      </c>
      <c r="U79" s="19">
        <f t="shared" si="7"/>
        <v>6095.8426977018125</v>
      </c>
      <c r="V79" s="19">
        <f t="shared" si="7"/>
        <v>6253.1154393025199</v>
      </c>
      <c r="W79" s="19">
        <f t="shared" si="7"/>
        <v>6414.4458176365251</v>
      </c>
      <c r="X79" s="19">
        <f t="shared" si="7"/>
        <v>6579.9385197315478</v>
      </c>
      <c r="Y79" s="19">
        <f t="shared" si="7"/>
        <v>6749.7009335406219</v>
      </c>
      <c r="Z79" s="19">
        <f t="shared" si="7"/>
        <v>6923.8432176259703</v>
      </c>
      <c r="AA79" s="19">
        <f t="shared" si="7"/>
        <v>7102.4783726407204</v>
      </c>
      <c r="AB79" s="19">
        <f t="shared" si="7"/>
        <v>7285.7223146548513</v>
      </c>
      <c r="AC79" s="19">
        <f t="shared" si="7"/>
        <v>7473.6939503729463</v>
      </c>
      <c r="AD79" s="19">
        <f t="shared" si="7"/>
        <v>7666.5152542925689</v>
      </c>
      <c r="AE79" s="19"/>
      <c r="AF79" s="19"/>
      <c r="AG79" s="19"/>
      <c r="AH79" s="19"/>
      <c r="AI79" s="19"/>
    </row>
    <row r="80" spans="1:35" x14ac:dyDescent="0.35">
      <c r="B80" s="85" t="s">
        <v>4</v>
      </c>
      <c r="C80" s="86"/>
      <c r="D80" s="87">
        <f>C7</f>
        <v>7.6294230088091136E-2</v>
      </c>
      <c r="E80" s="30"/>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row>
    <row r="81" spans="1:35" ht="16" thickBot="1" x14ac:dyDescent="0.4">
      <c r="B81" s="91" t="s">
        <v>5</v>
      </c>
      <c r="D81" s="94">
        <f>F109*12</f>
        <v>75228.125237483313</v>
      </c>
      <c r="E81" s="45"/>
      <c r="G81" s="19"/>
      <c r="H81" s="19"/>
      <c r="I81" s="19"/>
      <c r="J81" s="19"/>
      <c r="K81" s="19"/>
      <c r="L81" s="19"/>
      <c r="M81" s="19"/>
      <c r="N81" s="19"/>
      <c r="O81" s="19"/>
      <c r="P81" s="19"/>
      <c r="Q81" s="19"/>
      <c r="R81" s="19"/>
      <c r="S81" s="19"/>
      <c r="T81" s="19"/>
      <c r="U81" s="19"/>
      <c r="V81" s="19"/>
      <c r="W81" s="19"/>
      <c r="X81" s="19"/>
      <c r="Y81" s="19"/>
      <c r="Z81" s="19"/>
      <c r="AA81" s="19"/>
      <c r="AB81" s="19"/>
      <c r="AC81" s="19"/>
      <c r="AD81" s="19"/>
    </row>
    <row r="82" spans="1:35" x14ac:dyDescent="0.35">
      <c r="A82" s="1"/>
      <c r="B82" s="85"/>
      <c r="C82" s="86"/>
      <c r="D82" s="86"/>
      <c r="E82" s="95" t="s">
        <v>91</v>
      </c>
      <c r="F82" s="19">
        <f>F96*12</f>
        <v>8991.75</v>
      </c>
      <c r="G82" s="19">
        <f>IF(
F85=0+N("If the preceding year's loan balance is zero then"),
0+N("the current IBR payment is zero")+N("If the condition is not met then"),
IF(
AND(
G85=0+N("If this year's loan balance will be zero AND"),
I85=0+N("two year's from now it will be zero, then")),
F85+N("this is the last year of payment, and therefore the total payment made this year will simply be the remaining loan balance from last year")+N("If not then"),
G96*12+N("The monthly IBR payment multiplied by twelve")))</f>
        <v>12720.278924999999</v>
      </c>
      <c r="H82" s="19">
        <f>IF(
G85=0+N("If the preceding year's loan balance is zero then"),
0+N("the current IBR payment is zero")+N("If the condition is not met then"),
IF(
AND(
H85=0+N("If this year's loan balance will be zero AND"),
J85=0+N("two year's from now it will be zero, then")),
G85+N("this is the last year of payment, and therefore the total payment made this year will simply be the remaining loan balance from last year")+N("If not then"),
H96*12+N("The monthly IBR payment multiplied by twelve")))</f>
        <v>23650.1394260175</v>
      </c>
      <c r="I82" s="19">
        <f>IF(
H85=0+N("If the preceding year's loan balance is zero then"),
0+N("the current IBR payment is zero")+N("If the condition is not met then"),
IF(
AND(
I85=0+N("If this year's loan balance will be zero AND"),
K85=0+N("two year's from now it will be zero, then")),
H85+N("this is the last year of payment, and therefore the total payment made this year will simply be the remaining loan balance from last year")+N("If not then"),
I96*12+N("The monthly IBR payment multiplied by twelve")))</f>
        <v>49647.28962561053</v>
      </c>
      <c r="J82" s="19">
        <f t="shared" ref="J82:Y82" si="8">IF(
I85=0+N("If the preceding year's loan balance is zero then"),
0+N("the current IBR payment is zero")+N("If the condition is not met then"),
IF(
AND(
J85=0+N("If this year's loan balance will be zero AND"),
L85=0+N("two year's from now it will be zero, then")),
I85+N("this is the last year of payment, and therefore the total payment made this year will simply be the remaining loan balance from last year")+N("If not then"),
J96*12+N("The monthly IBR payment multiplied by twelve")))</f>
        <v>51150.686595213359</v>
      </c>
      <c r="K82" s="19">
        <f t="shared" si="8"/>
        <v>52699.536328753224</v>
      </c>
      <c r="L82" s="19">
        <f t="shared" si="8"/>
        <v>75228.125237483313</v>
      </c>
      <c r="M82" s="19">
        <f t="shared" si="8"/>
        <v>75228.125237483313</v>
      </c>
      <c r="N82" s="19">
        <f t="shared" si="8"/>
        <v>75228.125237483313</v>
      </c>
      <c r="O82" s="19">
        <f t="shared" si="8"/>
        <v>75228.125237483313</v>
      </c>
      <c r="P82" s="19">
        <f t="shared" si="8"/>
        <v>75228.125237483313</v>
      </c>
      <c r="Q82" s="19">
        <f t="shared" si="8"/>
        <v>75228.125237483313</v>
      </c>
      <c r="R82" s="19">
        <f t="shared" si="8"/>
        <v>75228.125237483313</v>
      </c>
      <c r="S82" s="19">
        <f t="shared" si="8"/>
        <v>75228.125237483313</v>
      </c>
      <c r="T82" s="19">
        <f t="shared" si="8"/>
        <v>75228.125237483313</v>
      </c>
      <c r="U82" s="19">
        <f t="shared" si="8"/>
        <v>75228.125237483313</v>
      </c>
      <c r="V82" s="19">
        <f t="shared" si="8"/>
        <v>75228.125237483313</v>
      </c>
      <c r="W82" s="19">
        <f t="shared" si="8"/>
        <v>25534.660384845716</v>
      </c>
      <c r="X82" s="19">
        <f t="shared" si="8"/>
        <v>0</v>
      </c>
      <c r="Y82" s="19">
        <f t="shared" si="8"/>
        <v>0</v>
      </c>
      <c r="Z82" s="19">
        <f>IF(
$C$11=0.1+N("If the interest rate is ten percent, THEN"),
0+N("The annual IBR payment is zero because the loan have been forgiven")+N("If that condition is not met THEN"),
IF(
Y85=0+N("If the preceding year's loan balance is zero then"),
0+N("the current IBR payment is zero")+N("If the condition is not met then"),
IF(
AND(
Z85=0+N("If this year's loan balance will be zero AND"),
AB85=0+N("two year's from now it will be zero, then")),
Y85+N("this is the last year of payment, and therefore the total payment made this year will simply be the remaining loan balance from last year")+N("If not then"),
Z96*12+N("The monthly IBR payment multiplied by twelve"))))</f>
        <v>0</v>
      </c>
      <c r="AA82" s="19">
        <f>IF(
$C$11=0.1+N("If the interest rate is ten percent, THEN"),
0+N("The annual IBR payment is zero because the loan have been forgiven")+N("If that condition is not met THEN"),
IF(
Z85=0+N("If the preceding year's loan balance is zero then"),
0+N("the current IBR payment is zero")+N("If the condition is not met then"),
IF(
AND(
AA85=0+N("If this year's loan balance will be zero AND"),
AC85=0+N("two year's from now it will be zero, then")),
Z85+N("this is the last year of payment, and therefore the total payment made this year will simply be the remaining loan balance from last year")+N("If not then"),
AA96*12+N("The monthly IBR payment multiplied by twelve"))))</f>
        <v>0</v>
      </c>
      <c r="AB82" s="19">
        <f>IF(
$C$11=0.1+N("If the interest rate is ten percent, THEN"),
0+N("The annual IBR payment is zero because the loan have been forgiven")+N("If that condition is not met THEN"),
IF(
AA85=0+N("If the preceding year's loan balance is zero then"),
0+N("the current IBR payment is zero")+N("If the condition is not met then"),
IF(
AND(
AB85=0+N("If this year's loan balance will be zero AND"),
AD85=0+N("two year's from now it will be zero, then")),
AA85+N("this is the last year of payment, and therefore the total payment made this year will simply be the remaining loan balance from last year")+N("If not then"),
AB96*12+N("The monthly IBR payment multiplied by twelve"))))</f>
        <v>0</v>
      </c>
      <c r="AC82" s="19">
        <f>IF(
$C$11=0.1+N("If the interest rate is ten percent, THEN"),
0+N("The annual IBR payment is zero because the loan have been forgiven")+N("If that condition is not met THEN"),
IF(
AB85=0+N("If the preceding year's loan balance is zero then"),
0+N("the current IBR payment is zero")+N("If the condition is not met then"),
IF(
AND(
AC85=0+N("If this year's loan balance will be zero AND"),
AE85=0+N("two year's from now it will be zero, then")),
AB85+N("this is the last year of payment, and therefore the total payment made this year will simply be the remaining loan balance from last year")+N("If not then"),
AC96*12+N("The monthly IBR payment multiplied by twelve"))))</f>
        <v>0</v>
      </c>
      <c r="AD82" s="19">
        <f>IF($C$11=0.1,0,IF(AC85=0,0,IF(AND(AD85=0,AF85=0),AC85,AD96*12)))</f>
        <v>0</v>
      </c>
      <c r="AE82" s="19"/>
      <c r="AF82" s="19"/>
      <c r="AG82" s="19"/>
      <c r="AH82" s="19"/>
      <c r="AI82" s="19"/>
    </row>
    <row r="83" spans="1:35" x14ac:dyDescent="0.35">
      <c r="A83" s="1"/>
      <c r="B83" s="91"/>
      <c r="E83" s="96" t="s">
        <v>52</v>
      </c>
      <c r="F83" s="19">
        <f>D85*C7</f>
        <v>40064.999400000001</v>
      </c>
      <c r="G83" s="19">
        <f t="shared" ref="G83:AD83" si="9">IF(
F96=$F$109+N("If the IBR monthly payment equals the standard monhtly payment, then"),
F85*$C$7+N("The annual interest rate is the previous year's loan principal multiplied by the interest rate")+N("If the condition was not met then..."),
IF(
F84&gt;0+N("IF the student negatively amortized the previous year, then"),
$D$85*$C$7+N("Annual interest is the original loan balance multiplied by the interest rate")+N("If they made a principal payment in the previous year then..."),
F85*$C$7+N("Since the previous year's loan balance must be lower tahn the original loan balance, the annual interest is the previous year's loan balance multiplied by the interest rate")))</f>
        <v>40064.999400000001</v>
      </c>
      <c r="H83" s="19">
        <f t="shared" si="9"/>
        <v>40064.999400000001</v>
      </c>
      <c r="I83" s="19">
        <f t="shared" si="9"/>
        <v>40064.999400000001</v>
      </c>
      <c r="J83" s="19">
        <f t="shared" si="9"/>
        <v>40064.999400000001</v>
      </c>
      <c r="K83" s="19">
        <f t="shared" si="9"/>
        <v>40064.999400000001</v>
      </c>
      <c r="L83" s="19">
        <f t="shared" si="9"/>
        <v>40064.999400000001</v>
      </c>
      <c r="M83" s="19">
        <f t="shared" si="9"/>
        <v>40098.363078429145</v>
      </c>
      <c r="N83" s="19">
        <f t="shared" si="9"/>
        <v>37418.164921326352</v>
      </c>
      <c r="O83" s="19">
        <f t="shared" si="9"/>
        <v>34533.483109343877</v>
      </c>
      <c r="P83" s="19">
        <f t="shared" si="9"/>
        <v>31428.716719467076</v>
      </c>
      <c r="Q83" s="19">
        <f t="shared" si="9"/>
        <v>28087.074568271248</v>
      </c>
      <c r="R83" s="19">
        <f t="shared" si="9"/>
        <v>24490.484401920021</v>
      </c>
      <c r="S83" s="19">
        <f t="shared" si="9"/>
        <v>20619.495157884627</v>
      </c>
      <c r="T83" s="19">
        <f t="shared" si="9"/>
        <v>16453.171769796267</v>
      </c>
      <c r="U83" s="19">
        <f t="shared" si="9"/>
        <v>11968.981946515702</v>
      </c>
      <c r="V83" s="19">
        <f t="shared" si="9"/>
        <v>7142.6743130990917</v>
      </c>
      <c r="W83" s="19">
        <f t="shared" si="9"/>
        <v>1948.1472546226848</v>
      </c>
      <c r="X83" s="19">
        <f t="shared" si="9"/>
        <v>0</v>
      </c>
      <c r="Y83" s="19">
        <f t="shared" si="9"/>
        <v>0</v>
      </c>
      <c r="Z83" s="19">
        <f t="shared" si="9"/>
        <v>0</v>
      </c>
      <c r="AA83" s="19">
        <f t="shared" si="9"/>
        <v>0</v>
      </c>
      <c r="AB83" s="19">
        <f t="shared" si="9"/>
        <v>0</v>
      </c>
      <c r="AC83" s="19">
        <f t="shared" si="9"/>
        <v>0</v>
      </c>
      <c r="AD83" s="19">
        <f t="shared" si="9"/>
        <v>0</v>
      </c>
      <c r="AE83" s="19"/>
      <c r="AF83" s="19"/>
      <c r="AG83" s="19"/>
      <c r="AH83" s="19"/>
      <c r="AI83" s="19"/>
    </row>
    <row r="84" spans="1:35" x14ac:dyDescent="0.35">
      <c r="A84" s="1"/>
      <c r="B84" s="91"/>
      <c r="E84" s="96" t="s">
        <v>7</v>
      </c>
      <c r="F84" s="14">
        <f>($C$22*$C$7)-((F96*12)*C28)+N("CNAPP equals the annual interest on unsubs minus the the percentage of the annual IBR payment that would be put towards unsubs")</f>
        <v>27563.072454308014</v>
      </c>
      <c r="G84" s="14">
        <f>IF(
F84=-$C$6+N("IF the principal payment from the previous year equals the original loan balance then"),
0+N("The CAN/PP euals zero, because you have paid of the loan")+N("if CAN/PP does not equal the original loan balance, then..."),
IF(
$C$7=0+N("If the interest rate is zero, then"),
(-(G96*12))+F84+N("CNAPP equals the last year's CNAPP minus whatever the annual IBR payment was")+N("If the interest rate is not zero, then..."),
IF(
G83=0+N("If the annual interest paid equals zero, then..."),
0+N("CNAPP equals zero")+N("If the annual interest rate does not equal zero, then..."),
(($C$22*$C$7)-((G96*12)*$C$28))+F84+N("CNAPP equals the previous CNAPP plus the annual interest on unsubs minus the the percentage of the annual IBR payment that would be put towards unsubs"))))</f>
        <v>51818.807733001624</v>
      </c>
      <c r="H84" s="14">
        <f>IF(
G84=-$C$6+N("IF the principal payment from the previous year equals the original loan balance then"),
0+N("The CAN/PP euals zero, because you have paid of the loan")+N("if CAN/PP does not equal the original loan balance, then..."),
IF(
$C$7=0+N("If the interest rate is zero, then"),
(-(H96*12))+G84+N("CNAPP equals the last year's CNAPP minus whatever the annual IBR payment was")+N("If the interest rate is not zero, then..."),
IF(
H83=0+N("If the annual interest paid equals zero, then..."),
0+N("CNAPP equals zero")+N("If the annual interest rate does not equal zero, then..."),
(($C$22*$C$7)-((H96*12)*$C$28))+G84+N("CNAPP equals the previous CNAPP plus the annual interest on unsubs minus the the percentage of the annual IBR payment that would be put towards unsubs"))))</f>
        <v>66379.369744588359</v>
      </c>
      <c r="I84" s="14">
        <f t="shared" ref="I84:AD84" si="10">IF(
H84=-$C6+N("IF the principal payment from the previous year equals the original loan balance then"),
0+N("The CAN/PP euals zero, because you have paid of the loan")+N("if CAN/PP does not equal the original loan balance, then..."),
IF(
$C7=0+N("If the interest rate is zero, then"),
(-(I96*12))+H84+N("CNAPP equals the last year's CNAPP minus whatever the annual IBR payment was")+N("If the interest rate is not zero, then..."),
IF(
I83=0+N("If the annual interest paid equals zero, then..."),
0+N("CNAPP equals zero")+N("If the annual interest rate does not equal zero, then..."),
I83-(I96*12)+H84+N("CNAPP equals the previous CNAPP plus the annual interest minus the annual IBR payment"))))</f>
        <v>56797.079518977829</v>
      </c>
      <c r="J84" s="14">
        <f t="shared" si="10"/>
        <v>45711.39232376447</v>
      </c>
      <c r="K84" s="14">
        <f t="shared" si="10"/>
        <v>33076.855395011247</v>
      </c>
      <c r="L84" s="14">
        <f t="shared" si="10"/>
        <v>-2086.270442472065</v>
      </c>
      <c r="M84" s="14">
        <f t="shared" si="10"/>
        <v>-37216.032601526233</v>
      </c>
      <c r="N84" s="14">
        <f t="shared" si="10"/>
        <v>-75025.992917683194</v>
      </c>
      <c r="O84" s="14">
        <f t="shared" si="10"/>
        <v>-115720.63504582262</v>
      </c>
      <c r="P84" s="14">
        <f t="shared" si="10"/>
        <v>-159520.04356383887</v>
      </c>
      <c r="Q84" s="222">
        <f t="shared" si="10"/>
        <v>-206661.09423305094</v>
      </c>
      <c r="R84" s="222">
        <f t="shared" si="10"/>
        <v>-257398.73506861425</v>
      </c>
      <c r="S84" s="222">
        <f t="shared" si="10"/>
        <v>-312007.36514821294</v>
      </c>
      <c r="T84" s="222">
        <f t="shared" si="10"/>
        <v>-370782.3186159</v>
      </c>
      <c r="U84" s="222">
        <f t="shared" si="10"/>
        <v>-434041.46190686763</v>
      </c>
      <c r="V84" s="195">
        <f t="shared" si="10"/>
        <v>-502126.91283125186</v>
      </c>
      <c r="W84" s="195">
        <f t="shared" si="10"/>
        <v>-575406.8908141125</v>
      </c>
      <c r="X84" s="14">
        <f t="shared" si="10"/>
        <v>0</v>
      </c>
      <c r="Y84" s="195">
        <f t="shared" si="10"/>
        <v>0</v>
      </c>
      <c r="Z84" s="14">
        <f t="shared" si="10"/>
        <v>0</v>
      </c>
      <c r="AA84" s="195">
        <f t="shared" si="10"/>
        <v>0</v>
      </c>
      <c r="AB84" s="195">
        <f t="shared" si="10"/>
        <v>0</v>
      </c>
      <c r="AC84" s="14">
        <f t="shared" si="10"/>
        <v>0</v>
      </c>
      <c r="AD84" s="14">
        <f t="shared" si="10"/>
        <v>0</v>
      </c>
      <c r="AE84" s="14"/>
      <c r="AF84" s="14"/>
      <c r="AG84" s="14"/>
      <c r="AH84" s="14"/>
      <c r="AI84" s="14"/>
    </row>
    <row r="85" spans="1:35" ht="16" thickBot="1" x14ac:dyDescent="0.4">
      <c r="A85" s="1"/>
      <c r="B85" s="88" t="s">
        <v>8</v>
      </c>
      <c r="C85" s="89"/>
      <c r="D85" s="97">
        <f>C6</f>
        <v>525138</v>
      </c>
      <c r="E85" s="98" t="s">
        <v>53</v>
      </c>
      <c r="F85" s="14">
        <f>$C$6+F84</f>
        <v>552701.07245430804</v>
      </c>
      <c r="G85" s="14">
        <f t="shared" ref="G85:X85" si="11">IF(
OR(
F85&lt;=0+N("If either the loan balance from the preceding year is less than or equal to zero OR"),
AND(
$C7=0+N("if the interest rate is zero AND"),
(F85-(F96*12))&lt;0+N("The loan balance is less than the annual IBR payment then"))),
0+N("the loan balance equals zero, if these conditions were not satisfied then"),
IF(
($C6+G84)&lt;0+N("If the principal payment is greaterthan the original loan balance then"),
0+N("the loan balance is zero")+N("If not, then"),
IF(
(G121*$C$11)/12&gt;=$C$109+N("If the IBR payment is greater than or equal to the standard payment then"),
(F85*(1+$C$7))-(G96*12)+N("the previous loan balance plus interest minus the annual IBR payment is the new loan balance")+N("If the condition is false then"),
($C6+G84)+N("the new loan balance is the original minus the principal or plus the negative amortization (the plus sign is in the formula because negative amortization is postitive and principal payment is negative in the spreadsheet"))))</f>
        <v>576956.80773300165</v>
      </c>
      <c r="H85" s="14">
        <f t="shared" si="11"/>
        <v>591517.36974458839</v>
      </c>
      <c r="I85" s="14">
        <f t="shared" si="11"/>
        <v>581935.07951897779</v>
      </c>
      <c r="J85" s="14">
        <f t="shared" si="11"/>
        <v>570849.39232376451</v>
      </c>
      <c r="K85" s="14">
        <f t="shared" si="11"/>
        <v>558214.85539501125</v>
      </c>
      <c r="L85" s="14">
        <f t="shared" si="11"/>
        <v>525575.30277362547</v>
      </c>
      <c r="M85" s="14">
        <f t="shared" si="11"/>
        <v>490445.54061457131</v>
      </c>
      <c r="N85" s="14">
        <f t="shared" si="11"/>
        <v>452635.58029841434</v>
      </c>
      <c r="O85" s="14">
        <f t="shared" si="11"/>
        <v>411940.93817027489</v>
      </c>
      <c r="P85" s="14">
        <f t="shared" si="11"/>
        <v>368141.52965225867</v>
      </c>
      <c r="Q85" s="222">
        <f t="shared" si="11"/>
        <v>321000.4789830466</v>
      </c>
      <c r="R85" s="222">
        <f t="shared" si="11"/>
        <v>270262.8381474833</v>
      </c>
      <c r="S85" s="222">
        <f t="shared" si="11"/>
        <v>215654.20806788461</v>
      </c>
      <c r="T85" s="222">
        <f t="shared" si="11"/>
        <v>156879.25460019754</v>
      </c>
      <c r="U85" s="222">
        <f t="shared" si="11"/>
        <v>93620.111309229935</v>
      </c>
      <c r="V85" s="14">
        <f t="shared" si="11"/>
        <v>25534.660384845716</v>
      </c>
      <c r="W85" s="14">
        <f t="shared" si="11"/>
        <v>0</v>
      </c>
      <c r="X85" s="14">
        <f t="shared" si="11"/>
        <v>0</v>
      </c>
      <c r="Y85" s="14">
        <f t="shared" ref="Y85:AD85" si="12">IF(
OR(
X85&lt;=0+N("If either the loan balance from the preceding year is less than or equal to zero OR"),
AND(
Y73&gt;20+N("IT is later than teh 20th year AND"),
$C$11=0.1+N("Percentage as share is 10 percent OR")),
AND(
$C7=0+N("if the interest rate is zero AND"),
(X85-(X96*12))&lt;0+N("The loan balance is less than the annual IBR payment then"))),
0+N("the loan balance equals zero, if these conditions were not satisfied then"),
IF(
($C6+Y84)&lt;0+N("If the principal payment is greaterthan the original loan balance then"),
0+N("the loan balance is zero")+N("If not, then"),
IF(
(Y121*$C$11)/12&gt;=$C$109+N("If the IBR payment is greater than or equal to the standard payment then"),
(X85*(1+$C$7))-(Y96*12)+N("the previous loan balance plus interest minus the annual IBR payment is the new loan balance")+N("If the condition is false then"),
($C6+Y84)+N("the new loan balance is the original minus the principal or plus the negative amortization (the plus sign is in the formula because negative amortization is postitive and principal payment is negative in the spreadsheet"))))</f>
        <v>0</v>
      </c>
      <c r="Z85" s="14">
        <f t="shared" si="12"/>
        <v>0</v>
      </c>
      <c r="AA85" s="14">
        <f t="shared" si="12"/>
        <v>0</v>
      </c>
      <c r="AB85" s="14">
        <f t="shared" si="12"/>
        <v>0</v>
      </c>
      <c r="AC85" s="14">
        <f t="shared" si="12"/>
        <v>0</v>
      </c>
      <c r="AD85" s="14">
        <f t="shared" si="12"/>
        <v>0</v>
      </c>
      <c r="AE85" s="14"/>
      <c r="AF85" s="14"/>
      <c r="AG85" s="14"/>
      <c r="AH85" s="14"/>
      <c r="AI85" s="14"/>
    </row>
    <row r="86" spans="1:35" ht="16" thickBot="1" x14ac:dyDescent="0.4">
      <c r="A86" s="1"/>
      <c r="B86" s="2"/>
      <c r="D86" s="77"/>
      <c r="E86" s="77"/>
      <c r="Q86" s="222"/>
      <c r="R86" s="222"/>
      <c r="S86" s="222"/>
      <c r="T86" s="222"/>
      <c r="U86" s="222"/>
      <c r="AE86" s="9"/>
    </row>
    <row r="87" spans="1:35" x14ac:dyDescent="0.35">
      <c r="A87" s="1"/>
      <c r="B87" s="2"/>
      <c r="C87" s="99">
        <f>SUM(F87:Y87)</f>
        <v>1097858.6262202568</v>
      </c>
      <c r="D87" s="106"/>
      <c r="E87" s="95" t="s">
        <v>51</v>
      </c>
      <c r="F87" s="14">
        <f>F92*12</f>
        <v>5994.5</v>
      </c>
      <c r="G87" s="14">
        <f>IF(
F90=0+N("If the preceding year's loan balance is zero then"),
0+N("the current IBR payment is zero")+N("If the condition is not met then"),
IF(
AND(
G90=0+N("If this year's loan balance will be zero AND"),
I90=0+N("two year's from now it will be zero, then")),
F90+N("this is the last year of payment, and therefore the total payment made this year will simply be the remaining loan balance from last year")+N("If not then"),
G92*12+N("The monthly IBR payment multiplied by twelve")))</f>
        <v>8480.1859499999991</v>
      </c>
      <c r="H87" s="14">
        <f>IF(
G90=0+N("If the preceding year's loan balance is zero then"),
0+N("the current IBR payment is zero")+N("If the condition is not met then"),
IF(
AND(
H90=0+N("If this year's loan balance will be zero AND"),
J90=0+N("two year's from now it will be zero, then")),
G90+N("this is the last year of payment, and therefore the total payment made this year will simply be the remaining loan balance from last year")+N("If not then"),
H92*12+N("The monthly IBR payment multiplied by twelve")))</f>
        <v>15766.759617345</v>
      </c>
      <c r="I87" s="14">
        <f>IF(
H90=0+N("If the preceding year's loan balance is zero then"),
0+N("the current IBR payment is zero")+N("If the condition is not met then"),
IF(
AND(
I90=0+N("If this year's loan balance will be zero AND"),
K90=0+N("two year's from now it will be zero, then")),
H90+N("this is the last year of payment, and therefore the total payment made this year will simply be the remaining loan balance from last year")+N("If not then"),
I92*12+N("The monthly IBR payment multiplied by twelve")))</f>
        <v>33098.193083740356</v>
      </c>
      <c r="J87" s="14">
        <f t="shared" ref="J87:AD87" si="13">IF(
I90=0+N("If the preceding year's loan balance is zero then"),
0+N("the current IBR payment is zero")+N("If the condition is not met then"),
IF(
AND(
J90=0+N("If this year's loan balance will be zero AND"),
L90=0+N("two year's from now it will be zero, then")),
I90+N("this is the last year of payment, and therefore the total payment made this year will simply be the remaining loan balance from last year")+N("If not then"),
J92*12+N("The monthly IBR payment multiplied by twelve")))</f>
        <v>34100.457730142247</v>
      </c>
      <c r="K87" s="14">
        <f t="shared" si="13"/>
        <v>35133.024219168816</v>
      </c>
      <c r="L87" s="14">
        <f t="shared" si="13"/>
        <v>57951.362477069953</v>
      </c>
      <c r="M87" s="14">
        <f t="shared" si="13"/>
        <v>59699.941675244416</v>
      </c>
      <c r="N87" s="14">
        <f t="shared" si="13"/>
        <v>61501.230211293048</v>
      </c>
      <c r="O87" s="14">
        <f t="shared" si="13"/>
        <v>63356.8156895965</v>
      </c>
      <c r="P87" s="14">
        <f t="shared" si="13"/>
        <v>65268.333501405374</v>
      </c>
      <c r="Q87" s="222">
        <f t="shared" si="13"/>
        <v>67237.468262430659</v>
      </c>
      <c r="R87" s="222">
        <f t="shared" si="13"/>
        <v>69265.955293661871</v>
      </c>
      <c r="S87" s="222">
        <f t="shared" si="13"/>
        <v>71355.582146712302</v>
      </c>
      <c r="T87" s="222">
        <f t="shared" si="13"/>
        <v>73508.190175029697</v>
      </c>
      <c r="U87" s="222">
        <f t="shared" si="13"/>
        <v>75228.125237483313</v>
      </c>
      <c r="V87" s="14">
        <f t="shared" si="13"/>
        <v>75228.125237483313</v>
      </c>
      <c r="W87" s="14">
        <f t="shared" si="13"/>
        <v>75228.125237483313</v>
      </c>
      <c r="X87" s="14">
        <f t="shared" si="13"/>
        <v>75228.125237483313</v>
      </c>
      <c r="Y87" s="14">
        <f t="shared" si="13"/>
        <v>75228.125237483313</v>
      </c>
      <c r="Z87" s="14"/>
      <c r="AA87" s="14">
        <f t="shared" si="13"/>
        <v>0</v>
      </c>
      <c r="AB87" s="14">
        <f t="shared" si="13"/>
        <v>0</v>
      </c>
      <c r="AC87" s="14">
        <f t="shared" si="13"/>
        <v>0</v>
      </c>
      <c r="AD87" s="14">
        <f t="shared" si="13"/>
        <v>0</v>
      </c>
      <c r="AE87" s="9"/>
    </row>
    <row r="88" spans="1:35" x14ac:dyDescent="0.35">
      <c r="A88" s="1"/>
      <c r="B88" s="2"/>
      <c r="C88" s="91"/>
      <c r="D88" s="77"/>
      <c r="E88" s="96" t="s">
        <v>52</v>
      </c>
      <c r="F88" s="14">
        <f>D85*C7</f>
        <v>40064.999400000001</v>
      </c>
      <c r="G88" s="14">
        <f t="shared" ref="G88:Y88" si="14">IF(
F92=$F$109+N("If the IBR monthly payment equals the standard monhtly payment, then"),
F90*$C$7+N("The annual interest rate is the previous year's loan principal multiplied by the interest rate")+N("If the condition was not met then..."),
IF(
F89&gt;0+N("IF the student negatively amortized the previous year, then"),
$D$85*$C$7+N("Annual interest is the original loan balance multiplied by the interest rate")+N("If they made a principal payment in the previous year then..."),
F90*$C$7+N("Since the previous year's loan balance must be lower tahn the original loan balance, the annual interest is the previous year's loan balance multiplied by the interest rate")))</f>
        <v>40064.999400000001</v>
      </c>
      <c r="H88" s="14">
        <f t="shared" si="14"/>
        <v>40064.999400000001</v>
      </c>
      <c r="I88" s="14">
        <f t="shared" si="14"/>
        <v>40064.999400000001</v>
      </c>
      <c r="J88" s="14">
        <f t="shared" si="14"/>
        <v>40064.999400000001</v>
      </c>
      <c r="K88" s="14">
        <f t="shared" si="14"/>
        <v>40064.999400000001</v>
      </c>
      <c r="L88" s="14">
        <f t="shared" si="14"/>
        <v>40064.999400000001</v>
      </c>
      <c r="M88" s="14">
        <f t="shared" si="14"/>
        <v>40064.999400000001</v>
      </c>
      <c r="N88" s="14">
        <f t="shared" si="14"/>
        <v>40064.999400000001</v>
      </c>
      <c r="O88" s="14">
        <f t="shared" si="14"/>
        <v>40064.999400000001</v>
      </c>
      <c r="P88" s="14">
        <f t="shared" si="14"/>
        <v>40064.999400000001</v>
      </c>
      <c r="Q88" s="222">
        <f t="shared" si="14"/>
        <v>39731.71711911993</v>
      </c>
      <c r="R88" s="222">
        <f t="shared" si="14"/>
        <v>37633.187012646405</v>
      </c>
      <c r="S88" s="222">
        <f t="shared" si="14"/>
        <v>35219.789311091336</v>
      </c>
      <c r="T88" s="222">
        <f t="shared" si="14"/>
        <v>32462.836818074873</v>
      </c>
      <c r="U88" s="222">
        <f t="shared" si="14"/>
        <v>29331.313185012361</v>
      </c>
      <c r="V88" s="14">
        <f t="shared" si="14"/>
        <v>25829.651245971269</v>
      </c>
      <c r="W88" s="14">
        <f t="shared" si="14"/>
        <v>22060.832705262266</v>
      </c>
      <c r="X88" s="14">
        <f t="shared" si="14"/>
        <v>18004.475055648141</v>
      </c>
      <c r="Y88" s="14">
        <f t="shared" si="14"/>
        <v>13638.64072219477</v>
      </c>
      <c r="Z88" s="14"/>
      <c r="AA88" s="14"/>
      <c r="AB88" s="14"/>
      <c r="AC88" s="14"/>
      <c r="AD88" s="14"/>
      <c r="AE88" s="9"/>
    </row>
    <row r="89" spans="1:35" x14ac:dyDescent="0.35">
      <c r="A89" s="1"/>
      <c r="B89" s="2"/>
      <c r="C89" s="91"/>
      <c r="D89" s="77"/>
      <c r="E89" s="96" t="s">
        <v>80</v>
      </c>
      <c r="F89" s="14">
        <f>($C$22*$C$7)-((F92*12)*C28)+N("CNAPP equals the annual interest on unsubs minus the the percentage of the annual IBR payment that would be put towards unsubs")</f>
        <v>30221.73933044343</v>
      </c>
      <c r="G89" s="14">
        <f>IF(
F89=-$C$6+N("IF the principal payment from the previous year equals the original loan balance then"),
0+N("The CAN/PP euals zero, because you have paid of the loan")+N("if CAN/PP does not equal the original loan balance, then..."),
IF(
$C$7=0+N("If the interest rate is zero, then"),
(-(G92*12))+F89+N("CNAPP equals the last year's CNAPP minus whatever the annual IBR payment was")+N("If the interest rate is not zero, then..."),
IF(
G88=0+N("If the annual interest paid equals zero, then..."),
0+N("CNAPP equals zero")+N("If the annual interest rate does not equal zero, then..."),
(($C$22*$C$7)-((G127*12)*$C$28))+F125+N("CNAPP equals the previous CNAPP plus the annual interest on unsubs minus the the percentage of the annual IBR payment that would be put towards unsubs"))))</f>
        <v>43127.717545255538</v>
      </c>
      <c r="H89" s="14">
        <f>IF(
G89=-$C$6+N("IF the principal payment from the previous year equals the original loan balance then"),
0+N("The CAN/PP euals zero, because you have paid of the loan")+N("if CAN/PP does not equal the original loan balance, then..."),
IF(
$C$7=0+N("If the interest rate is zero, then"),
(-(H92*12))+G89+N("CNAPP equals the last year's CNAPP minus whatever the annual IBR payment was")+N("If the interest rate is not zero, then..."),
IF(
H88=0+N("If the annual interest paid equals zero, then..."),
0+N("CNAPP equals zero")+N("If the annual interest rate does not equal zero, then..."),
(($C$22*$C$7)-((H92*12)*$C$28))+G89+N("CNAPP equals the previous CNAPP plus the annual interest on unsubs minus the the percentage of the annual IBR payment that would be put towards unsubs"))))</f>
        <v>64681.116580551447</v>
      </c>
      <c r="I89" s="14">
        <f t="shared" ref="I89:Y89" si="15">IF(
H89=-$C6+N("IF the principal payment from the previous year equals the original loan balance then"),
0+N("The CAN/PP euals zero, because you have paid of the loan")+N("if CAN/PP does not equal the original loan balance, then..."),
IF(
$C7=0+N("If the interest rate is zero, then"),
(-(I92*12))+H89+N("CNAPP equals the last year's CNAPP minus whatever the annual IBR payment was")+N("If the interest rate is not zero, then..."),
IF(
I88=0+N("If the annual interest paid equals zero, then..."),
0+N("CNAPP equals zero")+N("If the annual interest rate does not equal zero, then..."),
I88-(I92*12)+H89+N("CNAPP equals the previous CNAPP plus the annual interest minus the annual IBR payment"))))</f>
        <v>71647.922896811098</v>
      </c>
      <c r="J89" s="14">
        <f t="shared" si="15"/>
        <v>77612.464566668845</v>
      </c>
      <c r="K89" s="14">
        <f>IF(
J89=-$C6+N("IF the principal payment from the previous year equals the original loan balance then"),
0+N("The CAN/PP euals zero, because you have paid of the loan")+N("if CAN/PP does not equal the original loan balance, then..."),
IF(
$C7=0+N("If the interest rate is zero, then"),
(-(K92*12))+J89+N("CNAPP equals the last year's CNAPP minus whatever the annual IBR payment was")+N("If the interest rate is not zero, then..."),
IF(
K88=0+N("If the annual interest paid equals zero, then..."),
0+N("CNAPP equals zero")+N("If the annual interest rate does not equal zero, then..."),
K88-(K92*12)+J89+N("CNAPP equals the previous CNAPP plus the annual interest minus the annual IBR payment"))))</f>
        <v>82544.43974750003</v>
      </c>
      <c r="L89" s="14">
        <f t="shared" si="15"/>
        <v>64658.076670430077</v>
      </c>
      <c r="M89" s="14">
        <f t="shared" si="15"/>
        <v>45023.134395185662</v>
      </c>
      <c r="N89" s="14">
        <f t="shared" si="15"/>
        <v>23586.903583892614</v>
      </c>
      <c r="O89" s="14">
        <f t="shared" si="15"/>
        <v>295.08729429611412</v>
      </c>
      <c r="P89" s="14">
        <f t="shared" si="15"/>
        <v>-24908.246807109259</v>
      </c>
      <c r="Q89" s="222">
        <f t="shared" si="15"/>
        <v>-52413.997950419987</v>
      </c>
      <c r="R89" s="222">
        <f t="shared" si="15"/>
        <v>-84046.766231435453</v>
      </c>
      <c r="S89" s="222">
        <f t="shared" si="15"/>
        <v>-120182.55906705643</v>
      </c>
      <c r="T89" s="222">
        <f t="shared" si="15"/>
        <v>-161227.91242401124</v>
      </c>
      <c r="U89" s="222">
        <f t="shared" si="15"/>
        <v>-207124.7244764822</v>
      </c>
      <c r="V89" s="14">
        <f t="shared" si="15"/>
        <v>-256523.19846799423</v>
      </c>
      <c r="W89" s="14">
        <f t="shared" si="15"/>
        <v>-309690.49100021529</v>
      </c>
      <c r="X89" s="14">
        <f t="shared" si="15"/>
        <v>-366914.14118205046</v>
      </c>
      <c r="Y89" s="14">
        <f t="shared" si="15"/>
        <v>-428503.62569733901</v>
      </c>
      <c r="Z89" s="14"/>
      <c r="AA89" s="14"/>
      <c r="AB89" s="14"/>
      <c r="AC89" s="14"/>
      <c r="AD89" s="14"/>
      <c r="AE89" s="9"/>
    </row>
    <row r="90" spans="1:35" ht="16" thickBot="1" x14ac:dyDescent="0.4">
      <c r="A90" s="1"/>
      <c r="B90" s="2"/>
      <c r="C90" s="88"/>
      <c r="D90" s="101"/>
      <c r="E90" s="102" t="s">
        <v>53</v>
      </c>
      <c r="F90" s="14">
        <f>$C$6+F89</f>
        <v>555359.73933044344</v>
      </c>
      <c r="G90" s="14">
        <f t="shared" ref="G90:Y90" si="16">IF(
OR(
F90&lt;=0+N("If either the loan balance from the preceding year is less than or equal to zero OR"),
AND(
$C7=0+N("if the interest rate is zero AND"),
(F90-(F92*12))&lt;0+N("The loan balance is less than the annual IBR payment then"))),
0+N("the loan balance equals zero, if these conditions were not satisfied then"),
IF(
($C6+G89)&lt;0+N("If the principal payment is greaterthan the original loan balance then"),
0+N("the loan balance is zero")+N("If not, then"),
IF(
(G121*$C$11)/12&gt;=$C$109+N("If the IBR payment is greater than or equal to the standard payment then"),
(F90*(1+$C$7))-(G92*12)+N("the previous loan balance plus interest minus the annual IBR payment is the new loan balance")+N("If the condition is false then"),
($C6+G89)+N("the new loan balance is the original minus the principal or plus the negative amortization (the plus sign is in the formula because negative amortization is postitive and principal payment is negative in the spreadsheet"))))</f>
        <v>568265.71754525555</v>
      </c>
      <c r="H90" s="14">
        <f t="shared" si="16"/>
        <v>589819.11658055149</v>
      </c>
      <c r="I90" s="14">
        <f t="shared" si="16"/>
        <v>596785.92289681104</v>
      </c>
      <c r="J90" s="14">
        <f t="shared" si="16"/>
        <v>602750.46456666884</v>
      </c>
      <c r="K90" s="14">
        <f t="shared" si="16"/>
        <v>607682.4397475</v>
      </c>
      <c r="L90" s="14">
        <f t="shared" si="16"/>
        <v>596093.7411490184</v>
      </c>
      <c r="M90" s="14">
        <f t="shared" si="16"/>
        <v>581872.31251506822</v>
      </c>
      <c r="N90" s="14">
        <f t="shared" si="16"/>
        <v>564764.58239668945</v>
      </c>
      <c r="O90" s="14">
        <f t="shared" si="16"/>
        <v>544496.0457020707</v>
      </c>
      <c r="P90" s="14">
        <f t="shared" si="16"/>
        <v>520769.61879351485</v>
      </c>
      <c r="Q90" s="14">
        <f t="shared" si="16"/>
        <v>493263.86765020411</v>
      </c>
      <c r="R90" s="14">
        <f t="shared" si="16"/>
        <v>461631.0993691886</v>
      </c>
      <c r="S90" s="14">
        <f t="shared" si="16"/>
        <v>425495.30653356761</v>
      </c>
      <c r="T90" s="14">
        <f t="shared" si="16"/>
        <v>384449.95317661279</v>
      </c>
      <c r="U90" s="14">
        <f t="shared" si="16"/>
        <v>338553.14112414187</v>
      </c>
      <c r="V90" s="14">
        <f t="shared" si="16"/>
        <v>289154.66713262984</v>
      </c>
      <c r="W90" s="14">
        <f t="shared" si="16"/>
        <v>235987.37460040877</v>
      </c>
      <c r="X90" s="14">
        <f t="shared" si="16"/>
        <v>178763.72441857361</v>
      </c>
      <c r="Y90" s="14">
        <f t="shared" si="16"/>
        <v>117174.23990328507</v>
      </c>
      <c r="Z90" s="14"/>
      <c r="AA90" s="14"/>
      <c r="AB90" s="14"/>
      <c r="AC90" s="14"/>
      <c r="AD90" s="14"/>
      <c r="AE90" s="9"/>
    </row>
    <row r="91" spans="1:35" ht="16" thickBot="1" x14ac:dyDescent="0.4">
      <c r="A91" s="1"/>
      <c r="B91" s="2"/>
      <c r="D91" s="77"/>
      <c r="E91" s="29"/>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9"/>
    </row>
    <row r="92" spans="1:35" x14ac:dyDescent="0.35">
      <c r="A92" s="1"/>
      <c r="B92" s="2" t="s">
        <v>87</v>
      </c>
      <c r="C92" s="85"/>
      <c r="D92" s="106"/>
      <c r="E92" s="103" t="s">
        <v>92</v>
      </c>
      <c r="F92" s="14">
        <f>IF((F121*0.1)/12&lt;=0,0,IF(((F121*0.1)/12)&lt;($D$81/12),((F121*0.1)/12),"Ineligible"))</f>
        <v>499.54166666666669</v>
      </c>
      <c r="G92" s="14">
        <f t="shared" ref="G92:Y92" si="17">IF($F$92="Ineligible","",
IF($C$6=0,"",
IF(
G73&gt;20+N("IT is later than teh 20th year"),
0,
IF(
F90=0,
0+N("If loan balance from the preceding year is zero then IBR payment is zero, if not then"),
IF(
(G121*0.1)/12&lt;0,
0+N(""),
IF(
((G121*0.1)/12)&lt;($D$81/12)+N("If the IBR payment is less than the standard"),
((G121*0.1)/12)+N("Then the IBR payment"),
$F$109+N("If IBR is greater or equal to teh standard, then the standard plan")))))))</f>
        <v>706.68216249999989</v>
      </c>
      <c r="H92" s="14">
        <f t="shared" si="17"/>
        <v>1313.89663477875</v>
      </c>
      <c r="I92" s="14">
        <f t="shared" si="17"/>
        <v>2758.1827569783632</v>
      </c>
      <c r="J92" s="14">
        <f t="shared" si="17"/>
        <v>2841.7048108451872</v>
      </c>
      <c r="K92" s="14">
        <f t="shared" si="17"/>
        <v>2927.7520182640678</v>
      </c>
      <c r="L92" s="14">
        <f t="shared" si="17"/>
        <v>4829.2802064224961</v>
      </c>
      <c r="M92" s="14">
        <f t="shared" si="17"/>
        <v>4974.9951396037013</v>
      </c>
      <c r="N92" s="14">
        <f t="shared" si="17"/>
        <v>5125.1025176077537</v>
      </c>
      <c r="O92" s="14">
        <f t="shared" si="17"/>
        <v>5279.7346407997084</v>
      </c>
      <c r="P92" s="14">
        <f t="shared" si="17"/>
        <v>5439.0277917837811</v>
      </c>
      <c r="Q92" s="14">
        <f t="shared" si="17"/>
        <v>5603.1223552025549</v>
      </c>
      <c r="R92" s="14">
        <f t="shared" si="17"/>
        <v>5772.1629411384893</v>
      </c>
      <c r="S92" s="14">
        <f t="shared" si="17"/>
        <v>5946.2985122260252</v>
      </c>
      <c r="T92" s="14">
        <f t="shared" si="17"/>
        <v>6125.6825145858083</v>
      </c>
      <c r="U92" s="14">
        <f t="shared" si="17"/>
        <v>6269.0104364569424</v>
      </c>
      <c r="V92" s="14">
        <f t="shared" si="17"/>
        <v>6269.0104364569424</v>
      </c>
      <c r="W92" s="14">
        <f t="shared" si="17"/>
        <v>6269.0104364569424</v>
      </c>
      <c r="X92" s="14">
        <f t="shared" si="17"/>
        <v>6269.0104364569424</v>
      </c>
      <c r="Y92" s="14">
        <f t="shared" si="17"/>
        <v>6269.0104364569424</v>
      </c>
      <c r="Z92" s="14"/>
      <c r="AA92" s="14"/>
      <c r="AB92" s="14"/>
      <c r="AC92" s="14"/>
      <c r="AD92" s="14"/>
      <c r="AE92" s="9"/>
    </row>
    <row r="93" spans="1:35" ht="16" thickBot="1" x14ac:dyDescent="0.4">
      <c r="A93" s="1"/>
      <c r="B93" s="2"/>
      <c r="C93" s="88"/>
      <c r="D93" s="101"/>
      <c r="E93" s="102" t="s">
        <v>28</v>
      </c>
      <c r="F93" s="14">
        <f t="shared" ref="F93:Y93" si="18">IF($F$92="Ineligible","",IF($C$6=0,"",F90))</f>
        <v>555359.73933044344</v>
      </c>
      <c r="G93" s="14">
        <f t="shared" si="18"/>
        <v>568265.71754525555</v>
      </c>
      <c r="H93" s="14">
        <f t="shared" si="18"/>
        <v>589819.11658055149</v>
      </c>
      <c r="I93" s="14">
        <f t="shared" si="18"/>
        <v>596785.92289681104</v>
      </c>
      <c r="J93" s="14">
        <f t="shared" si="18"/>
        <v>602750.46456666884</v>
      </c>
      <c r="K93" s="14">
        <f t="shared" si="18"/>
        <v>607682.4397475</v>
      </c>
      <c r="L93" s="14">
        <f t="shared" si="18"/>
        <v>596093.7411490184</v>
      </c>
      <c r="M93" s="14">
        <f t="shared" si="18"/>
        <v>581872.31251506822</v>
      </c>
      <c r="N93" s="14">
        <f t="shared" si="18"/>
        <v>564764.58239668945</v>
      </c>
      <c r="O93" s="14">
        <f t="shared" si="18"/>
        <v>544496.0457020707</v>
      </c>
      <c r="P93" s="14">
        <f t="shared" si="18"/>
        <v>520769.61879351485</v>
      </c>
      <c r="Q93" s="14">
        <f t="shared" si="18"/>
        <v>493263.86765020411</v>
      </c>
      <c r="R93" s="14">
        <f t="shared" si="18"/>
        <v>461631.0993691886</v>
      </c>
      <c r="S93" s="14">
        <f t="shared" si="18"/>
        <v>425495.30653356761</v>
      </c>
      <c r="T93" s="14">
        <f t="shared" si="18"/>
        <v>384449.95317661279</v>
      </c>
      <c r="U93" s="14">
        <f t="shared" si="18"/>
        <v>338553.14112414187</v>
      </c>
      <c r="V93" s="14">
        <f t="shared" si="18"/>
        <v>289154.66713262984</v>
      </c>
      <c r="W93" s="14">
        <f t="shared" si="18"/>
        <v>235987.37460040877</v>
      </c>
      <c r="X93" s="14">
        <f t="shared" si="18"/>
        <v>178763.72441857361</v>
      </c>
      <c r="Y93" s="14">
        <f t="shared" si="18"/>
        <v>117174.23990328507</v>
      </c>
      <c r="Z93" s="14"/>
      <c r="AA93" s="14"/>
      <c r="AB93" s="14"/>
      <c r="AC93" s="14"/>
      <c r="AD93" s="14"/>
      <c r="AE93" s="9"/>
    </row>
    <row r="94" spans="1:35" s="8" customFormat="1" ht="16" thickBot="1" x14ac:dyDescent="0.4">
      <c r="B94" s="46"/>
      <c r="D94" s="74"/>
      <c r="E94" s="74"/>
      <c r="AE94" s="22"/>
    </row>
    <row r="95" spans="1:35" ht="16" hidden="1" thickBot="1" x14ac:dyDescent="0.4">
      <c r="A95" s="1"/>
      <c r="B95" s="2"/>
      <c r="D95" s="77"/>
      <c r="E95" s="77"/>
      <c r="AE95" s="9"/>
    </row>
    <row r="96" spans="1:35" x14ac:dyDescent="0.35">
      <c r="A96" s="1"/>
      <c r="B96" s="29"/>
      <c r="C96" s="280" t="s">
        <v>78</v>
      </c>
      <c r="D96" s="281"/>
      <c r="E96" s="282"/>
      <c r="F96" s="14">
        <f>IF((F121*$C$11)/12&lt;=0,0,IF(((F121*$C$11)/12)&lt;($D$81/12),((F121*$C$11)/12),"Ineligible"))</f>
        <v>749.3125</v>
      </c>
      <c r="G96" s="14">
        <f t="shared" ref="G96:AD96" si="19">IF($F$96="Ineligible","",
IF($C$6=0,"",
IF(
AND(
G73&gt;20+N("IT is later than teh 20th year AND"),
$C$11=0.1+N("Percentage as share is 10 percent THEN")),
0,
IF(
F85=0,
0+N("If loan balance from the preceding year is zero then IBR payment is zero, if not then"),
IF(
(G121*$C$11)/12&lt;0,
0+N(""),
IF(
((G121*$C$11)/12)&lt;($D$81/12)+N("If the IBR payment is less than the standard"),
((G121*$C$11)/12)+N("Then the IBR payment"),
$F$109+N("If IBR is greater or equal to teh standard, then the standard plan")))))))</f>
        <v>1060.0232437499999</v>
      </c>
      <c r="H96" s="14">
        <f t="shared" si="19"/>
        <v>1970.844952168125</v>
      </c>
      <c r="I96" s="14">
        <f t="shared" si="19"/>
        <v>4137.2741354675445</v>
      </c>
      <c r="J96" s="14">
        <f t="shared" si="19"/>
        <v>4262.5572162677799</v>
      </c>
      <c r="K96" s="14">
        <f t="shared" si="19"/>
        <v>4391.628027396102</v>
      </c>
      <c r="L96" s="14">
        <f t="shared" si="19"/>
        <v>6269.0104364569424</v>
      </c>
      <c r="M96" s="14">
        <f t="shared" si="19"/>
        <v>6269.0104364569424</v>
      </c>
      <c r="N96" s="14">
        <f t="shared" si="19"/>
        <v>6269.0104364569424</v>
      </c>
      <c r="O96" s="14">
        <f t="shared" si="19"/>
        <v>6269.0104364569424</v>
      </c>
      <c r="P96" s="14">
        <f t="shared" si="19"/>
        <v>6269.0104364569424</v>
      </c>
      <c r="Q96" s="14">
        <f t="shared" si="19"/>
        <v>6269.0104364569424</v>
      </c>
      <c r="R96" s="14">
        <f t="shared" si="19"/>
        <v>6269.0104364569424</v>
      </c>
      <c r="S96" s="14">
        <f t="shared" si="19"/>
        <v>6269.0104364569424</v>
      </c>
      <c r="T96" s="14">
        <f t="shared" si="19"/>
        <v>6269.0104364569424</v>
      </c>
      <c r="U96" s="14">
        <f t="shared" si="19"/>
        <v>6269.0104364569424</v>
      </c>
      <c r="V96" s="14">
        <f t="shared" si="19"/>
        <v>6269.0104364569424</v>
      </c>
      <c r="W96" s="14">
        <f t="shared" si="19"/>
        <v>6269.0104364569424</v>
      </c>
      <c r="X96" s="14">
        <f t="shared" si="19"/>
        <v>0</v>
      </c>
      <c r="Y96" s="14">
        <f t="shared" si="19"/>
        <v>0</v>
      </c>
      <c r="Z96" s="14">
        <f t="shared" si="19"/>
        <v>0</v>
      </c>
      <c r="AA96" s="14">
        <f t="shared" si="19"/>
        <v>0</v>
      </c>
      <c r="AB96" s="14">
        <f t="shared" si="19"/>
        <v>0</v>
      </c>
      <c r="AC96" s="14">
        <f t="shared" si="19"/>
        <v>0</v>
      </c>
      <c r="AD96" s="14">
        <f t="shared" si="19"/>
        <v>0</v>
      </c>
      <c r="AE96" s="14"/>
      <c r="AF96" s="14"/>
      <c r="AG96" s="14"/>
      <c r="AH96" s="14"/>
      <c r="AI96" s="14"/>
    </row>
    <row r="97" spans="1:35" ht="16" thickBot="1" x14ac:dyDescent="0.4">
      <c r="A97" s="1"/>
      <c r="B97" s="2"/>
      <c r="C97" s="283" t="s">
        <v>28</v>
      </c>
      <c r="D97" s="284"/>
      <c r="E97" s="285"/>
      <c r="F97" s="14">
        <f t="shared" ref="F97:AD97" si="20">IF($F$96="Ineligible","",IF($C$6=0,"",F85))</f>
        <v>552701.07245430804</v>
      </c>
      <c r="G97" s="14">
        <f t="shared" si="20"/>
        <v>576956.80773300165</v>
      </c>
      <c r="H97" s="14">
        <f t="shared" si="20"/>
        <v>591517.36974458839</v>
      </c>
      <c r="I97" s="14">
        <f t="shared" si="20"/>
        <v>581935.07951897779</v>
      </c>
      <c r="J97" s="14">
        <f t="shared" si="20"/>
        <v>570849.39232376451</v>
      </c>
      <c r="K97" s="14">
        <f t="shared" si="20"/>
        <v>558214.85539501125</v>
      </c>
      <c r="L97" s="14">
        <f t="shared" si="20"/>
        <v>525575.30277362547</v>
      </c>
      <c r="M97" s="14">
        <f t="shared" si="20"/>
        <v>490445.54061457131</v>
      </c>
      <c r="N97" s="14">
        <f t="shared" si="20"/>
        <v>452635.58029841434</v>
      </c>
      <c r="O97" s="14">
        <f t="shared" si="20"/>
        <v>411940.93817027489</v>
      </c>
      <c r="P97" s="14">
        <f t="shared" si="20"/>
        <v>368141.52965225867</v>
      </c>
      <c r="Q97" s="14">
        <f t="shared" si="20"/>
        <v>321000.4789830466</v>
      </c>
      <c r="R97" s="14">
        <f t="shared" si="20"/>
        <v>270262.8381474833</v>
      </c>
      <c r="S97" s="14">
        <f t="shared" si="20"/>
        <v>215654.20806788461</v>
      </c>
      <c r="T97" s="14">
        <f t="shared" si="20"/>
        <v>156879.25460019754</v>
      </c>
      <c r="U97" s="14">
        <f t="shared" si="20"/>
        <v>93620.111309229935</v>
      </c>
      <c r="V97" s="14">
        <f t="shared" si="20"/>
        <v>25534.660384845716</v>
      </c>
      <c r="W97" s="14">
        <f t="shared" si="20"/>
        <v>0</v>
      </c>
      <c r="X97" s="14">
        <f t="shared" si="20"/>
        <v>0</v>
      </c>
      <c r="Y97" s="14">
        <f t="shared" si="20"/>
        <v>0</v>
      </c>
      <c r="Z97" s="14">
        <f t="shared" si="20"/>
        <v>0</v>
      </c>
      <c r="AA97" s="14">
        <f t="shared" si="20"/>
        <v>0</v>
      </c>
      <c r="AB97" s="14">
        <f t="shared" si="20"/>
        <v>0</v>
      </c>
      <c r="AC97" s="14">
        <f t="shared" si="20"/>
        <v>0</v>
      </c>
      <c r="AD97" s="14">
        <f t="shared" si="20"/>
        <v>0</v>
      </c>
      <c r="AE97" s="14"/>
      <c r="AF97" s="14"/>
      <c r="AG97" s="14"/>
      <c r="AH97" s="14"/>
      <c r="AI97" s="14"/>
    </row>
    <row r="98" spans="1:35" hidden="1" x14ac:dyDescent="0.35">
      <c r="A98" s="1"/>
      <c r="B98" s="2"/>
      <c r="C98" s="78"/>
      <c r="D98" s="78"/>
      <c r="E98" s="78"/>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row>
    <row r="99" spans="1:35" hidden="1" x14ac:dyDescent="0.35">
      <c r="A99" s="1"/>
      <c r="B99" s="18"/>
      <c r="C99" s="289"/>
      <c r="D99" s="289"/>
      <c r="E99" s="289"/>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row>
    <row r="100" spans="1:35" hidden="1" x14ac:dyDescent="0.35">
      <c r="A100" s="1"/>
      <c r="B100" s="2"/>
      <c r="C100" s="290"/>
      <c r="D100" s="290"/>
      <c r="E100" s="290"/>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row>
    <row r="101" spans="1:35" ht="16" thickBot="1" x14ac:dyDescent="0.4">
      <c r="A101" s="1"/>
      <c r="B101" s="2"/>
      <c r="D101" s="8"/>
      <c r="E101" s="78"/>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row>
    <row r="102" spans="1:35" x14ac:dyDescent="0.35">
      <c r="A102" s="1"/>
      <c r="B102" s="29"/>
      <c r="C102" s="286" t="s">
        <v>29</v>
      </c>
      <c r="D102" s="287"/>
      <c r="E102" s="288"/>
      <c r="F102" s="14">
        <f t="shared" ref="F102:O102" si="21">IF($C$6=0,"",F109)</f>
        <v>6269.0104364569424</v>
      </c>
      <c r="G102" s="14">
        <f t="shared" si="21"/>
        <v>6269.0104364569424</v>
      </c>
      <c r="H102" s="14">
        <f t="shared" si="21"/>
        <v>6269.0104364569424</v>
      </c>
      <c r="I102" s="14">
        <f t="shared" si="21"/>
        <v>6269.0104364569424</v>
      </c>
      <c r="J102" s="14">
        <f t="shared" si="21"/>
        <v>6269.0104364569424</v>
      </c>
      <c r="K102" s="14">
        <f t="shared" si="21"/>
        <v>6269.0104364569424</v>
      </c>
      <c r="L102" s="14">
        <f t="shared" si="21"/>
        <v>6269.0104364569424</v>
      </c>
      <c r="M102" s="14">
        <f t="shared" si="21"/>
        <v>6269.0104364569424</v>
      </c>
      <c r="N102" s="14">
        <f t="shared" si="21"/>
        <v>6269.0104364569424</v>
      </c>
      <c r="O102" s="14">
        <f t="shared" si="21"/>
        <v>6269.0104364569424</v>
      </c>
      <c r="P102" s="14"/>
      <c r="Q102" s="14"/>
      <c r="R102" s="14"/>
      <c r="S102" s="14"/>
      <c r="T102" s="14"/>
      <c r="U102" s="14"/>
      <c r="V102" s="14"/>
      <c r="W102" s="14"/>
      <c r="X102" s="14"/>
      <c r="Y102" s="14"/>
      <c r="Z102" s="14"/>
      <c r="AA102" s="14"/>
      <c r="AB102" s="14"/>
      <c r="AC102" s="14"/>
      <c r="AD102" s="14"/>
      <c r="AE102" s="14"/>
      <c r="AF102" s="14"/>
      <c r="AG102" s="14"/>
      <c r="AH102" s="14"/>
      <c r="AI102" s="14"/>
    </row>
    <row r="103" spans="1:35" x14ac:dyDescent="0.35">
      <c r="A103" s="1"/>
      <c r="C103" s="276" t="s">
        <v>30</v>
      </c>
      <c r="D103" s="277"/>
      <c r="E103" s="278"/>
      <c r="F103" s="14">
        <f>IF($C$6=0,"",F105)</f>
        <v>3718.4918722875937</v>
      </c>
      <c r="G103" s="14">
        <f t="shared" ref="G103:AI103" si="22">IF($C$6=0,"",G105)</f>
        <v>3718.4918722875937</v>
      </c>
      <c r="H103" s="14">
        <f t="shared" si="22"/>
        <v>3718.4918722875937</v>
      </c>
      <c r="I103" s="14">
        <f t="shared" si="22"/>
        <v>3718.4918722875937</v>
      </c>
      <c r="J103" s="14">
        <f t="shared" si="22"/>
        <v>3718.4918722875937</v>
      </c>
      <c r="K103" s="14">
        <f t="shared" si="22"/>
        <v>3718.4918722875937</v>
      </c>
      <c r="L103" s="14">
        <f t="shared" si="22"/>
        <v>3718.4918722875937</v>
      </c>
      <c r="M103" s="14">
        <f t="shared" si="22"/>
        <v>3718.4918722875937</v>
      </c>
      <c r="N103" s="14">
        <f t="shared" si="22"/>
        <v>3718.4918722875937</v>
      </c>
      <c r="O103" s="14">
        <f t="shared" si="22"/>
        <v>3718.4918722875937</v>
      </c>
      <c r="P103" s="14">
        <f t="shared" si="22"/>
        <v>3718.4918722875937</v>
      </c>
      <c r="Q103" s="14">
        <f t="shared" si="22"/>
        <v>3718.4918722875937</v>
      </c>
      <c r="R103" s="14">
        <f t="shared" si="22"/>
        <v>3718.4918722875937</v>
      </c>
      <c r="S103" s="14">
        <f t="shared" si="22"/>
        <v>3718.4918722875937</v>
      </c>
      <c r="T103" s="14">
        <f t="shared" si="22"/>
        <v>3718.4918722875937</v>
      </c>
      <c r="U103" s="14">
        <f t="shared" si="22"/>
        <v>3718.4918722875937</v>
      </c>
      <c r="V103" s="14">
        <f t="shared" si="22"/>
        <v>3718.4918722875937</v>
      </c>
      <c r="W103" s="14">
        <f t="shared" si="22"/>
        <v>3718.4918722875937</v>
      </c>
      <c r="X103" s="14">
        <f t="shared" si="22"/>
        <v>3718.4918722875937</v>
      </c>
      <c r="Y103" s="14">
        <f t="shared" si="22"/>
        <v>3718.4918722875937</v>
      </c>
      <c r="Z103" s="14">
        <f t="shared" si="22"/>
        <v>3718.4918722875937</v>
      </c>
      <c r="AA103" s="14">
        <f t="shared" si="22"/>
        <v>3718.4918722875937</v>
      </c>
      <c r="AB103" s="14">
        <f t="shared" si="22"/>
        <v>3718.4918722875937</v>
      </c>
      <c r="AC103" s="14">
        <f t="shared" si="22"/>
        <v>3718.4918722875937</v>
      </c>
      <c r="AD103" s="14">
        <f t="shared" si="22"/>
        <v>3718.4918722875937</v>
      </c>
      <c r="AE103" s="14"/>
      <c r="AF103" s="14"/>
      <c r="AG103" s="14"/>
      <c r="AH103" s="14">
        <f t="shared" si="22"/>
        <v>0</v>
      </c>
      <c r="AI103" s="14">
        <f t="shared" si="22"/>
        <v>0</v>
      </c>
    </row>
    <row r="104" spans="1:35" x14ac:dyDescent="0.35">
      <c r="A104" s="1"/>
      <c r="C104" s="276" t="s">
        <v>31</v>
      </c>
      <c r="D104" s="277"/>
      <c r="E104" s="278"/>
      <c r="F104" s="14">
        <f t="shared" ref="F104:AI104" si="23">IF($C$6=0,"",F115)</f>
        <v>3272.2728476130824</v>
      </c>
      <c r="G104" s="14">
        <f t="shared" si="23"/>
        <v>3272.2728476130824</v>
      </c>
      <c r="H104" s="14">
        <f t="shared" si="23"/>
        <v>3383.1099803084348</v>
      </c>
      <c r="I104" s="14">
        <f t="shared" si="23"/>
        <v>3383.1099803084348</v>
      </c>
      <c r="J104" s="14">
        <f t="shared" si="23"/>
        <v>3454.2750150167931</v>
      </c>
      <c r="K104" s="14">
        <f t="shared" si="23"/>
        <v>3454.2750150167931</v>
      </c>
      <c r="L104" s="14">
        <f t="shared" si="23"/>
        <v>3569.0354561763406</v>
      </c>
      <c r="M104" s="14">
        <f t="shared" si="23"/>
        <v>3569.0354561763406</v>
      </c>
      <c r="N104" s="14">
        <f t="shared" si="23"/>
        <v>3683.267128824903</v>
      </c>
      <c r="O104" s="14">
        <f t="shared" si="23"/>
        <v>3683.267128824903</v>
      </c>
      <c r="P104" s="14">
        <f t="shared" si="23"/>
        <v>3776.2892330978311</v>
      </c>
      <c r="Q104" s="14">
        <f t="shared" si="23"/>
        <v>3776.2892330978311</v>
      </c>
      <c r="R104" s="14">
        <f t="shared" si="23"/>
        <v>3893.069486410755</v>
      </c>
      <c r="S104" s="14">
        <f t="shared" si="23"/>
        <v>3893.069486410755</v>
      </c>
      <c r="T104" s="14">
        <f t="shared" si="23"/>
        <v>4009.9354659889441</v>
      </c>
      <c r="U104" s="14">
        <f t="shared" si="23"/>
        <v>4009.9354659889441</v>
      </c>
      <c r="V104" s="14">
        <f t="shared" si="23"/>
        <v>4127.2758815215693</v>
      </c>
      <c r="W104" s="14">
        <f t="shared" si="23"/>
        <v>4127.2758815215693</v>
      </c>
      <c r="X104" s="14">
        <f t="shared" si="23"/>
        <v>4245.7788283778345</v>
      </c>
      <c r="Y104" s="14">
        <f t="shared" si="23"/>
        <v>4245.7788283778345</v>
      </c>
      <c r="Z104" s="14">
        <f t="shared" si="23"/>
        <v>4366.6565617678034</v>
      </c>
      <c r="AA104" s="14">
        <f t="shared" si="23"/>
        <v>4366.6565617678034</v>
      </c>
      <c r="AB104" s="14">
        <f t="shared" si="23"/>
        <v>4492.1496217477425</v>
      </c>
      <c r="AC104" s="14">
        <f t="shared" si="23"/>
        <v>4492.1496217477425</v>
      </c>
      <c r="AD104" s="14">
        <f t="shared" si="23"/>
        <v>4626.8697235866421</v>
      </c>
      <c r="AE104" s="14"/>
      <c r="AF104" s="14"/>
      <c r="AG104" s="14"/>
      <c r="AH104" s="14">
        <f t="shared" si="23"/>
        <v>0</v>
      </c>
      <c r="AI104" s="14">
        <f t="shared" si="23"/>
        <v>0</v>
      </c>
    </row>
    <row r="105" spans="1:35" ht="16" thickBot="1" x14ac:dyDescent="0.4">
      <c r="A105" s="1"/>
      <c r="C105" s="88"/>
      <c r="D105" s="108"/>
      <c r="E105" s="109" t="s">
        <v>30</v>
      </c>
      <c r="F105" s="14">
        <f>IF($C6&lt;10000,PMT($C$7/$C$8,12*$C$8,-$C$6),IF($C6&lt;20000,PMT($C$7/$C$8,15*$C$8,-$C$6),IF($C6&lt;40000,PMT($C$7/$C$8,20*$C$8,-$C$6),IF($C6&lt;60000,PMT($C$7/$C$8,25*$C$8,-$C$6),PMT($C$7/$C$8,30*$C$8,-$C$6)))))</f>
        <v>3718.4918722875937</v>
      </c>
      <c r="G105" s="14">
        <f t="shared" ref="G105:Q107" si="24">F105</f>
        <v>3718.4918722875937</v>
      </c>
      <c r="H105" s="14">
        <f t="shared" si="24"/>
        <v>3718.4918722875937</v>
      </c>
      <c r="I105" s="14">
        <f t="shared" si="24"/>
        <v>3718.4918722875937</v>
      </c>
      <c r="J105" s="14">
        <f t="shared" si="24"/>
        <v>3718.4918722875937</v>
      </c>
      <c r="K105" s="14">
        <f t="shared" si="24"/>
        <v>3718.4918722875937</v>
      </c>
      <c r="L105" s="14">
        <f t="shared" si="24"/>
        <v>3718.4918722875937</v>
      </c>
      <c r="M105" s="14">
        <f t="shared" si="24"/>
        <v>3718.4918722875937</v>
      </c>
      <c r="N105" s="14">
        <f t="shared" si="24"/>
        <v>3718.4918722875937</v>
      </c>
      <c r="O105" s="14">
        <f t="shared" si="24"/>
        <v>3718.4918722875937</v>
      </c>
      <c r="P105" s="14">
        <f t="shared" si="24"/>
        <v>3718.4918722875937</v>
      </c>
      <c r="Q105" s="14">
        <f t="shared" si="24"/>
        <v>3718.4918722875937</v>
      </c>
      <c r="R105" s="14">
        <f>IF(C6&lt;10000,0,Q105)</f>
        <v>3718.4918722875937</v>
      </c>
      <c r="S105" s="14">
        <f>R105</f>
        <v>3718.4918722875937</v>
      </c>
      <c r="T105" s="14">
        <f>S105</f>
        <v>3718.4918722875937</v>
      </c>
      <c r="U105" s="14">
        <f>IF(C6&lt;20000,0,T105)</f>
        <v>3718.4918722875937</v>
      </c>
      <c r="V105" s="14">
        <f t="shared" ref="V105:Y107" si="25">U105</f>
        <v>3718.4918722875937</v>
      </c>
      <c r="W105" s="14">
        <f t="shared" si="25"/>
        <v>3718.4918722875937</v>
      </c>
      <c r="X105" s="14">
        <f t="shared" si="25"/>
        <v>3718.4918722875937</v>
      </c>
      <c r="Y105" s="14">
        <f t="shared" si="25"/>
        <v>3718.4918722875937</v>
      </c>
      <c r="Z105" s="14">
        <f>IF(C6&lt;40000,0,Y105)</f>
        <v>3718.4918722875937</v>
      </c>
      <c r="AA105" s="14">
        <f t="shared" ref="AA105:AD107" si="26">Z105</f>
        <v>3718.4918722875937</v>
      </c>
      <c r="AB105" s="14">
        <f t="shared" si="26"/>
        <v>3718.4918722875937</v>
      </c>
      <c r="AC105" s="14">
        <f t="shared" si="26"/>
        <v>3718.4918722875937</v>
      </c>
      <c r="AD105" s="14">
        <f t="shared" si="26"/>
        <v>3718.4918722875937</v>
      </c>
      <c r="AE105" s="14"/>
      <c r="AF105" s="14"/>
      <c r="AG105" s="14"/>
      <c r="AH105" s="14">
        <f>AG105</f>
        <v>0</v>
      </c>
      <c r="AI105" s="14">
        <f>AH105</f>
        <v>0</v>
      </c>
    </row>
    <row r="106" spans="1:35" x14ac:dyDescent="0.35">
      <c r="A106" s="1"/>
      <c r="D106" s="8"/>
      <c r="E106" s="77" t="s">
        <v>49</v>
      </c>
      <c r="F106" s="8">
        <f>F105*12</f>
        <v>44621.902467451124</v>
      </c>
      <c r="G106" s="8">
        <f t="shared" ref="G106:AI106" si="27">G105*12</f>
        <v>44621.902467451124</v>
      </c>
      <c r="H106" s="8">
        <f t="shared" si="27"/>
        <v>44621.902467451124</v>
      </c>
      <c r="I106" s="8">
        <f t="shared" si="27"/>
        <v>44621.902467451124</v>
      </c>
      <c r="J106" s="8">
        <f t="shared" si="27"/>
        <v>44621.902467451124</v>
      </c>
      <c r="K106" s="8">
        <f t="shared" si="27"/>
        <v>44621.902467451124</v>
      </c>
      <c r="L106" s="8">
        <f t="shared" si="27"/>
        <v>44621.902467451124</v>
      </c>
      <c r="M106" s="8">
        <f t="shared" si="27"/>
        <v>44621.902467451124</v>
      </c>
      <c r="N106" s="8">
        <f t="shared" si="27"/>
        <v>44621.902467451124</v>
      </c>
      <c r="O106" s="8">
        <f>O105*12</f>
        <v>44621.902467451124</v>
      </c>
      <c r="P106" s="8">
        <f t="shared" si="27"/>
        <v>44621.902467451124</v>
      </c>
      <c r="Q106" s="8">
        <f t="shared" si="27"/>
        <v>44621.902467451124</v>
      </c>
      <c r="R106" s="26">
        <f t="shared" si="27"/>
        <v>44621.902467451124</v>
      </c>
      <c r="S106" s="26">
        <f t="shared" si="27"/>
        <v>44621.902467451124</v>
      </c>
      <c r="T106" s="26">
        <f t="shared" si="27"/>
        <v>44621.902467451124</v>
      </c>
      <c r="U106" s="26">
        <f t="shared" si="27"/>
        <v>44621.902467451124</v>
      </c>
      <c r="V106" s="26">
        <f t="shared" si="27"/>
        <v>44621.902467451124</v>
      </c>
      <c r="W106" s="26">
        <f t="shared" si="27"/>
        <v>44621.902467451124</v>
      </c>
      <c r="X106" s="26">
        <f t="shared" si="27"/>
        <v>44621.902467451124</v>
      </c>
      <c r="Y106" s="26">
        <f t="shared" si="27"/>
        <v>44621.902467451124</v>
      </c>
      <c r="Z106" s="26">
        <f t="shared" si="27"/>
        <v>44621.902467451124</v>
      </c>
      <c r="AA106" s="26">
        <f t="shared" si="27"/>
        <v>44621.902467451124</v>
      </c>
      <c r="AB106" s="26">
        <f t="shared" si="27"/>
        <v>44621.902467451124</v>
      </c>
      <c r="AC106" s="23">
        <f t="shared" si="27"/>
        <v>44621.902467451124</v>
      </c>
      <c r="AD106" s="23">
        <f t="shared" si="27"/>
        <v>44621.902467451124</v>
      </c>
      <c r="AE106" s="23">
        <f t="shared" si="27"/>
        <v>0</v>
      </c>
      <c r="AF106" s="23"/>
      <c r="AG106" s="23"/>
      <c r="AH106" s="23">
        <f t="shared" si="27"/>
        <v>0</v>
      </c>
      <c r="AI106" s="23">
        <f t="shared" si="27"/>
        <v>0</v>
      </c>
    </row>
    <row r="107" spans="1:35" x14ac:dyDescent="0.35">
      <c r="A107" s="1"/>
      <c r="B107" s="1" t="s">
        <v>10</v>
      </c>
      <c r="D107" s="8">
        <f>IF(K107="N/A","N/A",SUM(F107:AI107)*12)</f>
        <v>1183314.1771822104</v>
      </c>
      <c r="E107" s="22"/>
      <c r="F107" s="14">
        <f>($C$6*$C$7)/12</f>
        <v>3338.7499499999999</v>
      </c>
      <c r="G107" s="14">
        <f>($C$6*$C$7)/12</f>
        <v>3338.7499499999999</v>
      </c>
      <c r="H107" s="14">
        <f>($C$6*$C$7)/12</f>
        <v>3338.7499499999999</v>
      </c>
      <c r="I107" s="14">
        <f>($C$6*$C$7)/12</f>
        <v>3338.7499499999999</v>
      </c>
      <c r="J107" s="14">
        <f>IF($C$6&lt;10000,PMT($C$7/$C$8,8*$C$8,-$C$6),IF($C$6&lt;20000,PMT($C$7/$C$8,11*$C$8,-$C$6),IF($C$6&lt;40000,PMT($C$7/$C$8,16*$C$8,-$C$6),IF($C$6&lt;60000,PMT($C$7/$C$8,21*$C$8,-$C$6),PMT($C$7/$C$8,26*$C$8,-$C$6)))))</f>
        <v>3875.2052256901884</v>
      </c>
      <c r="K107" s="14">
        <f>IF(J107&gt;($F$107*3),"N/A",J107)</f>
        <v>3875.2052256901884</v>
      </c>
      <c r="L107" s="14">
        <f t="shared" si="24"/>
        <v>3875.2052256901884</v>
      </c>
      <c r="M107" s="14">
        <f t="shared" si="24"/>
        <v>3875.2052256901884</v>
      </c>
      <c r="N107" s="14">
        <f t="shared" si="24"/>
        <v>3875.2052256901884</v>
      </c>
      <c r="O107" s="14">
        <f t="shared" si="24"/>
        <v>3875.2052256901884</v>
      </c>
      <c r="P107" s="14">
        <f t="shared" si="24"/>
        <v>3875.2052256901884</v>
      </c>
      <c r="Q107" s="14">
        <f t="shared" si="24"/>
        <v>3875.2052256901884</v>
      </c>
      <c r="R107" s="14">
        <f>IF($C$6&lt;10000,0,Q107)</f>
        <v>3875.2052256901884</v>
      </c>
      <c r="S107" s="14">
        <f>R107</f>
        <v>3875.2052256901884</v>
      </c>
      <c r="T107" s="14">
        <f>S107</f>
        <v>3875.2052256901884</v>
      </c>
      <c r="U107" s="14">
        <f>IF($C$6&lt;20000,0,T107)</f>
        <v>3875.2052256901884</v>
      </c>
      <c r="V107" s="14">
        <f t="shared" si="25"/>
        <v>3875.2052256901884</v>
      </c>
      <c r="W107" s="14">
        <f t="shared" si="25"/>
        <v>3875.2052256901884</v>
      </c>
      <c r="X107" s="14">
        <f t="shared" si="25"/>
        <v>3875.2052256901884</v>
      </c>
      <c r="Y107" s="14">
        <f t="shared" si="25"/>
        <v>3875.2052256901884</v>
      </c>
      <c r="Z107" s="14">
        <f>IF($C$6&lt;40000,0,Y107)</f>
        <v>3875.2052256901884</v>
      </c>
      <c r="AA107" s="14">
        <f t="shared" si="26"/>
        <v>3875.2052256901884</v>
      </c>
      <c r="AB107" s="14">
        <f t="shared" si="26"/>
        <v>3875.2052256901884</v>
      </c>
      <c r="AC107" s="14">
        <f t="shared" si="26"/>
        <v>3875.2052256901884</v>
      </c>
      <c r="AD107" s="14">
        <f t="shared" si="26"/>
        <v>3875.2052256901884</v>
      </c>
      <c r="AE107" s="14">
        <f>IF($C$6&lt;60000,0,AD107)</f>
        <v>3875.2052256901884</v>
      </c>
      <c r="AF107" s="14"/>
      <c r="AG107" s="14"/>
      <c r="AH107" s="14">
        <f>AG107</f>
        <v>0</v>
      </c>
      <c r="AI107" s="14">
        <f>AH107</f>
        <v>0</v>
      </c>
    </row>
    <row r="108" spans="1:35" s="8" customFormat="1" x14ac:dyDescent="0.35">
      <c r="E108" s="22" t="s">
        <v>43</v>
      </c>
      <c r="F108" s="8">
        <f>F109*12</f>
        <v>75228.125237483313</v>
      </c>
      <c r="G108" s="8">
        <f t="shared" ref="G108:O108" si="28">G109*12</f>
        <v>75228.125237483313</v>
      </c>
      <c r="H108" s="8">
        <f t="shared" si="28"/>
        <v>75228.125237483313</v>
      </c>
      <c r="I108" s="8">
        <f t="shared" si="28"/>
        <v>75228.125237483313</v>
      </c>
      <c r="J108" s="8">
        <f t="shared" si="28"/>
        <v>75228.125237483313</v>
      </c>
      <c r="K108" s="8">
        <f t="shared" si="28"/>
        <v>75228.125237483313</v>
      </c>
      <c r="L108" s="8">
        <f t="shared" si="28"/>
        <v>75228.125237483313</v>
      </c>
      <c r="M108" s="8">
        <f t="shared" si="28"/>
        <v>75228.125237483313</v>
      </c>
      <c r="N108" s="8">
        <f t="shared" si="28"/>
        <v>75228.125237483313</v>
      </c>
      <c r="O108" s="8">
        <f t="shared" si="28"/>
        <v>75228.125237483313</v>
      </c>
    </row>
    <row r="109" spans="1:35" x14ac:dyDescent="0.35">
      <c r="A109" s="1"/>
      <c r="B109" s="1" t="s">
        <v>132</v>
      </c>
      <c r="C109" s="54">
        <f>PMT(C$7/12,10*12,-C$6)</f>
        <v>6269.0104364569424</v>
      </c>
      <c r="E109" s="9" t="s">
        <v>11</v>
      </c>
      <c r="F109" s="14">
        <f>PMT(C$7/12,10*12,-C$6)</f>
        <v>6269.0104364569424</v>
      </c>
      <c r="G109" s="14">
        <f t="shared" ref="G109:O109" si="29">$F$109</f>
        <v>6269.0104364569424</v>
      </c>
      <c r="H109" s="14">
        <f t="shared" si="29"/>
        <v>6269.0104364569424</v>
      </c>
      <c r="I109" s="14">
        <f t="shared" si="29"/>
        <v>6269.0104364569424</v>
      </c>
      <c r="J109" s="14">
        <f t="shared" si="29"/>
        <v>6269.0104364569424</v>
      </c>
      <c r="K109" s="14">
        <f t="shared" si="29"/>
        <v>6269.0104364569424</v>
      </c>
      <c r="L109" s="14">
        <f t="shared" si="29"/>
        <v>6269.0104364569424</v>
      </c>
      <c r="M109" s="14">
        <f t="shared" si="29"/>
        <v>6269.0104364569424</v>
      </c>
      <c r="N109" s="14">
        <f t="shared" si="29"/>
        <v>6269.0104364569424</v>
      </c>
      <c r="O109" s="14">
        <f t="shared" si="29"/>
        <v>6269.0104364569424</v>
      </c>
      <c r="P109" s="14">
        <v>0</v>
      </c>
      <c r="Q109" s="14">
        <v>0</v>
      </c>
      <c r="R109" s="14">
        <v>0</v>
      </c>
      <c r="S109" s="14">
        <v>0</v>
      </c>
      <c r="T109" s="14">
        <v>0</v>
      </c>
      <c r="U109" s="14">
        <v>0</v>
      </c>
      <c r="V109" s="14">
        <v>0</v>
      </c>
      <c r="W109" s="14">
        <v>0</v>
      </c>
      <c r="X109" s="14">
        <v>0</v>
      </c>
      <c r="Y109" s="14">
        <v>0</v>
      </c>
      <c r="Z109" s="14">
        <v>0</v>
      </c>
      <c r="AA109" s="14">
        <v>0</v>
      </c>
      <c r="AB109" s="14">
        <v>0</v>
      </c>
      <c r="AC109" s="14">
        <v>0</v>
      </c>
      <c r="AD109" s="14">
        <v>0</v>
      </c>
      <c r="AE109" s="14"/>
      <c r="AF109" s="14"/>
      <c r="AG109" s="14"/>
      <c r="AH109" s="14"/>
      <c r="AI109" s="14"/>
    </row>
    <row r="110" spans="1:35" x14ac:dyDescent="0.35">
      <c r="A110" s="1"/>
      <c r="B110" s="1" t="s">
        <v>12</v>
      </c>
      <c r="D110" s="47">
        <f>IF(J110="N/A","N/A",SUM(F110:O110)*12)</f>
        <v>818654.05599707051</v>
      </c>
      <c r="E110" s="24"/>
      <c r="F110" s="25">
        <f>PMT($C$7/12,10*12,(0.69)*-($C$6))</f>
        <v>4325.617201155289</v>
      </c>
      <c r="G110" s="25">
        <f>PMT($C$7/12,10*12,(0.69)*-($C$6))</f>
        <v>4325.617201155289</v>
      </c>
      <c r="H110" s="25">
        <f>PMT($C$7/12,8*12,(0.76)*-($G$114))</f>
        <v>5306.4681867792406</v>
      </c>
      <c r="I110" s="25">
        <f>PMT($C$7/12,8*12,(0.76)*-($G$114))</f>
        <v>5306.4681867792406</v>
      </c>
      <c r="J110" s="25">
        <f>PMT($C$7/12,6*12,(0.84)*-($I$114))</f>
        <v>6524.8013844541429</v>
      </c>
      <c r="K110" s="25">
        <f>PMT($C$7/12,6*12,(0.84)*-($I$114))</f>
        <v>6524.8013844541429</v>
      </c>
      <c r="L110" s="25">
        <f>PMT($C$7/12,4*12,(0.9)*-($K$114))</f>
        <v>7765.5762775106523</v>
      </c>
      <c r="M110" s="25">
        <f>PMT($C$7/12,4*12,(0.9)*-($K$114))</f>
        <v>7765.5762775106523</v>
      </c>
      <c r="N110" s="25">
        <f>PMT($C$7/12,2*12,-($M$114))</f>
        <v>9862.0602159492046</v>
      </c>
      <c r="O110" s="25">
        <f>(PMT($C$7/12,2*12,-($M$114)))+((N114-(N111-(N114*$C7)))/12)</f>
        <v>10514.185017341346</v>
      </c>
      <c r="P110" s="14"/>
      <c r="Q110" s="14"/>
      <c r="R110" s="14"/>
      <c r="S110" s="14"/>
      <c r="T110" s="14"/>
      <c r="U110" s="14"/>
      <c r="V110" s="14"/>
      <c r="W110" s="14"/>
      <c r="X110" s="14"/>
      <c r="Y110" s="14"/>
      <c r="Z110" s="14"/>
      <c r="AA110" s="14"/>
      <c r="AB110" s="14"/>
      <c r="AC110" s="14"/>
      <c r="AD110" s="14"/>
    </row>
    <row r="111" spans="1:35" x14ac:dyDescent="0.35">
      <c r="A111" s="1"/>
      <c r="B111" s="1" t="s">
        <v>13</v>
      </c>
      <c r="E111" s="9"/>
      <c r="F111" s="19">
        <f>F110*12</f>
        <v>51907.406413863471</v>
      </c>
      <c r="G111" s="19">
        <f>G110*12</f>
        <v>51907.406413863471</v>
      </c>
      <c r="H111" s="19">
        <f t="shared" ref="H111:AD111" si="30">H110*12</f>
        <v>63677.618241350887</v>
      </c>
      <c r="I111" s="19">
        <f t="shared" si="30"/>
        <v>63677.618241350887</v>
      </c>
      <c r="J111" s="19">
        <f t="shared" si="30"/>
        <v>78297.616613449718</v>
      </c>
      <c r="K111" s="19">
        <f t="shared" si="30"/>
        <v>78297.616613449718</v>
      </c>
      <c r="L111" s="19">
        <f t="shared" si="30"/>
        <v>93186.915330127827</v>
      </c>
      <c r="M111" s="19">
        <f t="shared" si="30"/>
        <v>93186.915330127827</v>
      </c>
      <c r="N111" s="19">
        <f t="shared" si="30"/>
        <v>118344.72259139045</v>
      </c>
      <c r="O111" s="19">
        <f>O110*12</f>
        <v>126170.22020809614</v>
      </c>
      <c r="P111" s="19">
        <f t="shared" si="30"/>
        <v>0</v>
      </c>
      <c r="Q111" s="19">
        <f t="shared" si="30"/>
        <v>0</v>
      </c>
      <c r="R111" s="19">
        <f t="shared" si="30"/>
        <v>0</v>
      </c>
      <c r="S111" s="19">
        <f t="shared" si="30"/>
        <v>0</v>
      </c>
      <c r="T111" s="19">
        <f t="shared" si="30"/>
        <v>0</v>
      </c>
      <c r="U111" s="19">
        <f t="shared" si="30"/>
        <v>0</v>
      </c>
      <c r="V111" s="19">
        <f t="shared" si="30"/>
        <v>0</v>
      </c>
      <c r="W111" s="19">
        <f t="shared" si="30"/>
        <v>0</v>
      </c>
      <c r="X111" s="19">
        <f t="shared" si="30"/>
        <v>0</v>
      </c>
      <c r="Y111" s="19">
        <f t="shared" si="30"/>
        <v>0</v>
      </c>
      <c r="Z111" s="19">
        <f t="shared" si="30"/>
        <v>0</v>
      </c>
      <c r="AA111" s="19">
        <f t="shared" si="30"/>
        <v>0</v>
      </c>
      <c r="AB111" s="19">
        <f t="shared" si="30"/>
        <v>0</v>
      </c>
      <c r="AC111" s="19">
        <f t="shared" si="30"/>
        <v>0</v>
      </c>
      <c r="AD111" s="19">
        <f t="shared" si="30"/>
        <v>0</v>
      </c>
    </row>
    <row r="112" spans="1:35" x14ac:dyDescent="0.35">
      <c r="A112" s="1"/>
      <c r="B112" s="1" t="s">
        <v>6</v>
      </c>
      <c r="E112" s="9"/>
      <c r="F112" s="19">
        <f>$C$6*$C$7</f>
        <v>40064.999400000001</v>
      </c>
      <c r="G112" s="19">
        <f>F114*$C$7</f>
        <v>39161.492074487483</v>
      </c>
      <c r="H112" s="19">
        <f t="shared" ref="H112:AI112" si="31">G114*$C$7</f>
        <v>38189.052353196028</v>
      </c>
      <c r="I112" s="19">
        <f t="shared" si="31"/>
        <v>36244.421842709671</v>
      </c>
      <c r="J112" s="19">
        <f t="shared" si="31"/>
        <v>34151.427244619947</v>
      </c>
      <c r="K112" s="19">
        <f t="shared" si="31"/>
        <v>30783.327715402007</v>
      </c>
      <c r="L112" s="19">
        <f t="shared" si="31"/>
        <v>27158.261625742321</v>
      </c>
      <c r="M112" s="19">
        <f t="shared" si="31"/>
        <v>22120.656327613044</v>
      </c>
      <c r="N112" s="19">
        <f t="shared" si="31"/>
        <v>16698.710811775301</v>
      </c>
      <c r="O112" s="19">
        <f t="shared" si="31"/>
        <v>8943.7066015245218</v>
      </c>
      <c r="P112" s="19">
        <f t="shared" si="31"/>
        <v>0</v>
      </c>
      <c r="Q112" s="19">
        <f t="shared" si="31"/>
        <v>0</v>
      </c>
      <c r="R112" s="19">
        <f t="shared" si="31"/>
        <v>0</v>
      </c>
      <c r="S112" s="19">
        <f t="shared" si="31"/>
        <v>0</v>
      </c>
      <c r="T112" s="19">
        <f t="shared" si="31"/>
        <v>0</v>
      </c>
      <c r="U112" s="19">
        <f t="shared" si="31"/>
        <v>0</v>
      </c>
      <c r="V112" s="19">
        <f t="shared" si="31"/>
        <v>0</v>
      </c>
      <c r="W112" s="19">
        <f t="shared" si="31"/>
        <v>0</v>
      </c>
      <c r="X112" s="19">
        <f t="shared" si="31"/>
        <v>0</v>
      </c>
      <c r="Y112" s="19">
        <f t="shared" si="31"/>
        <v>0</v>
      </c>
      <c r="Z112" s="19">
        <f t="shared" si="31"/>
        <v>0</v>
      </c>
      <c r="AA112" s="19">
        <f t="shared" si="31"/>
        <v>0</v>
      </c>
      <c r="AB112" s="19">
        <f t="shared" si="31"/>
        <v>0</v>
      </c>
      <c r="AC112" s="19">
        <f t="shared" si="31"/>
        <v>0</v>
      </c>
      <c r="AD112" s="19">
        <f>AC114*$C$7</f>
        <v>0</v>
      </c>
      <c r="AE112" s="19">
        <f t="shared" si="31"/>
        <v>0</v>
      </c>
      <c r="AF112" s="19"/>
      <c r="AG112" s="19"/>
      <c r="AH112" s="19">
        <f t="shared" si="31"/>
        <v>0</v>
      </c>
      <c r="AI112" s="19">
        <f t="shared" si="31"/>
        <v>0</v>
      </c>
    </row>
    <row r="113" spans="1:35" x14ac:dyDescent="0.35">
      <c r="A113" s="1"/>
      <c r="B113" s="1" t="s">
        <v>14</v>
      </c>
      <c r="E113" s="9"/>
      <c r="F113" s="19">
        <f>F111-F112</f>
        <v>11842.407013863471</v>
      </c>
      <c r="G113" s="19">
        <f>G111-G112</f>
        <v>12745.914339375988</v>
      </c>
      <c r="H113" s="19">
        <f t="shared" ref="H113:N113" si="32">H111-H112</f>
        <v>25488.565888154859</v>
      </c>
      <c r="I113" s="19">
        <f t="shared" si="32"/>
        <v>27433.196398641216</v>
      </c>
      <c r="J113" s="19">
        <f t="shared" si="32"/>
        <v>44146.189368829771</v>
      </c>
      <c r="K113" s="19">
        <f t="shared" si="32"/>
        <v>47514.288898047715</v>
      </c>
      <c r="L113" s="19">
        <f t="shared" si="32"/>
        <v>66028.653704385506</v>
      </c>
      <c r="M113" s="19">
        <f t="shared" si="32"/>
        <v>71066.25900251478</v>
      </c>
      <c r="N113" s="19">
        <f t="shared" si="32"/>
        <v>101646.01177961516</v>
      </c>
      <c r="O113" s="19">
        <f>O111-O112</f>
        <v>117226.51360657162</v>
      </c>
      <c r="P113" s="19"/>
      <c r="Q113" s="19"/>
      <c r="R113" s="19"/>
      <c r="S113" s="19"/>
      <c r="T113" s="19"/>
      <c r="U113" s="19"/>
      <c r="V113" s="19"/>
      <c r="W113" s="19"/>
      <c r="X113" s="19"/>
      <c r="Y113" s="19"/>
    </row>
    <row r="114" spans="1:35" x14ac:dyDescent="0.35">
      <c r="A114" s="1"/>
      <c r="B114" s="1" t="s">
        <v>8</v>
      </c>
      <c r="E114" s="9"/>
      <c r="F114" s="19">
        <f>$C$6-F113</f>
        <v>513295.59298613656</v>
      </c>
      <c r="G114" s="19">
        <f>F114-G113</f>
        <v>500549.67864676059</v>
      </c>
      <c r="H114" s="19">
        <f t="shared" ref="H114:O114" si="33">G114-H113</f>
        <v>475061.11275860574</v>
      </c>
      <c r="I114" s="19">
        <f t="shared" si="33"/>
        <v>447627.91635996453</v>
      </c>
      <c r="J114" s="19">
        <f t="shared" si="33"/>
        <v>403481.72699113475</v>
      </c>
      <c r="K114" s="19">
        <f t="shared" si="33"/>
        <v>355967.43809308705</v>
      </c>
      <c r="L114" s="19">
        <f t="shared" si="33"/>
        <v>289938.78438870155</v>
      </c>
      <c r="M114" s="19">
        <f t="shared" si="33"/>
        <v>218872.52538618678</v>
      </c>
      <c r="N114" s="19">
        <f t="shared" si="33"/>
        <v>117226.51360657162</v>
      </c>
      <c r="O114" s="19">
        <f t="shared" si="33"/>
        <v>0</v>
      </c>
      <c r="P114" s="19"/>
      <c r="Q114" s="19"/>
      <c r="R114" s="19"/>
      <c r="S114" s="19"/>
      <c r="T114" s="19"/>
      <c r="U114" s="19"/>
      <c r="V114" s="19"/>
      <c r="W114" s="19"/>
      <c r="X114" s="19"/>
      <c r="Y114" s="19"/>
    </row>
    <row r="115" spans="1:35" x14ac:dyDescent="0.35">
      <c r="A115" s="1"/>
      <c r="D115" s="8"/>
      <c r="E115" s="77" t="s">
        <v>31</v>
      </c>
      <c r="F115" s="14">
        <f>IF($C$6&lt;10000,PMT($C$7/12,12*12,(0.7)*-($C$6)),IF($C$6&lt;20000,PMT($C$7/12,15*12,(0.69)*-($C$6)),IF($C$6&lt;40000,PMT($C$7/12,20*12,(0.75)*-($C$6)),IF($C$6&lt;60000,PMT($C$7/12,25*12,(0.83)*-($C$6)),PMT($C$7/12,30*12,(0.88)*-($C$6))))))</f>
        <v>3272.2728476130824</v>
      </c>
      <c r="G115" s="14">
        <f>IF($C$6&lt;10000,PMT($C$7/12,12*12,(0.7)*-($C$6)),IF($C$6&lt;20000,PMT($C$7/12,15*12,(0.69)*-($C$6)),IF($C$6&lt;40000,PMT($C$7/12,20*12,(0.75)*-($C$6)),IF($C$6&lt;60000,PMT($C$7/12,25*12,(0.83)*-($C$6)),PMT($C$7/12,30*12,(0.88)*-($C$6))))))</f>
        <v>3272.2728476130824</v>
      </c>
      <c r="H115" s="14">
        <f>IF($C$6&lt;10000,PMT($C$7/12,10*12,(0.75)*-($G$119)),IF($C$6&lt;20000,PMT($C$7/12,13*12,(0.72)*-($G$119)),IF($C$6&lt;40000,PMT($C$7/12,(20-$G$73)*12,(0.78)*-($G$119)),IF($C$6&lt;60000,PMT($C$7/12,(25-$G$73)*12,(0.84)*-($G$119)),PMT($C$7/12,(30-2)*12,(0.89)*-($G$119))))))</f>
        <v>3383.1099803084348</v>
      </c>
      <c r="I115" s="14">
        <f>IF($C$6&lt;10000,PMT($C$7/12,10*12,(0.75)*-($G$119)),IF($C$6&lt;20000,PMT($C$7/12,13*12,(0.72)*-($G$119)),IF($C$6&lt;40000,PMT($C$7/12,(20-$G$73)*12,(0.78)*-($G$119)),IF($C$6&lt;60000,PMT($C$7/12,(25-$G$73)*12,(0.84)*-($G$119)),PMT($C$7/12,(30-2)*12,(0.89)*-($G$119))))))</f>
        <v>3383.1099803084348</v>
      </c>
      <c r="J115" s="14">
        <f>IF($C$6&lt;10000,PMT($C$7/12,8*12,(0.81)*-($I$119)),IF($C$6&lt;20000,PMT($C$7/12,11*12,(0.76)*-($I$119)),IF($C$6&lt;40000,PMT($C$7/12,(20-$I73)*12,(0.8)*-($I$119)),IF($C$6&lt;60000,PMT($C$7/12,(25-$I$73)*12,(0.85)*-($I$119)),PMT($C$7/12,(30-4)*12,(0.89)*-($I$119))))))</f>
        <v>3454.2750150167931</v>
      </c>
      <c r="K115" s="14">
        <f>IF($C$6&lt;10000,PMT($C$7/12,8*12,(0.81)*-($I$119)),IF($C$6&lt;20000,PMT($C$7/12,11*12,(0.76)*-($I$119)),IF($C$6&lt;40000,PMT($C$7/12,(20-$I73)*12,(0.8)*-($I$119)),IF($C$6&lt;60000,PMT($C$7/12,(25-$I$73)*12,(0.85)*-($I$119)),PMT($C$7/12,(30-4)*12,(0.89)*-($I$119))))))</f>
        <v>3454.2750150167931</v>
      </c>
      <c r="L115" s="14">
        <f>IF($C$6&lt;10000,PMT($C$7/12,6*12,(0.87)*-($K$119)),IF($C$6&lt;20000,PMT($C$7/12,9*12,(0.81)*-($K$119)),IF($C$6&lt;40000,PMT($C$7/12,(20-$K$73)*12,(0.82)*-($K$119)),IF($C$6&lt;60000,PMT($C$7/12,(25-$K$73)*12,(0.87)*-($K$119)),PMT($C$7/12,(30-6)*12,(0.9)*-($K$119))))))</f>
        <v>3569.0354561763406</v>
      </c>
      <c r="M115" s="14">
        <f>IF($C$6&lt;10000,PMT($C$7/12,6*12,(0.87)*-($K$119)),IF($C$6&lt;20000,PMT($C$7/12,9*12,(0.81)*-($K$119)),IF($C$6&lt;40000,PMT($C$7/12,(20-$K$73)*12,(0.82)*-($K$119)),IF($C$6&lt;60000,PMT($C$7/12,(25-$K$73)*12,(0.87)*-($K$119)),PMT($C$7/12,(30-6)*12,(0.9)*-($K$119))))))</f>
        <v>3569.0354561763406</v>
      </c>
      <c r="N115" s="14">
        <f>IF($C$6&lt;10000,PMT($C$7/12,4*12,0.93*-($M$119)),IF($C$6&lt;20000,PMT($C$7/12,7*12,(0.85)*-($M$119)),IF($C$6&lt;40000,PMT($C$7/12,(20-$M$73)*12,(0.85)*-($M$119)),IF($C$6&lt;60000,PMT($C$7/12,(25-$M$73)*12,(0.88)*-($M$119)),PMT($C$7/12,(30-8)*12,(0.91)*-($M$119))))))</f>
        <v>3683.267128824903</v>
      </c>
      <c r="O115" s="14">
        <f>IF($C$6&lt;10000,PMT($C$7/12,4*12,0.93*-($M$119)),IF($C$6&lt;20000,PMT($C$7/12,7*12,(0.85)*-($M$119)),IF($C$6&lt;40000,PMT($C$7/12,(20-$M$73)*12,(0.85)*-($M$119)),IF($C$6&lt;60000,PMT($C$7/12,(25-$M$73)*12,(0.88)*-($M$119)),PMT($C$7/12,(30-8)*12,(0.91)*-($M$119))))))</f>
        <v>3683.267128824903</v>
      </c>
      <c r="P115" s="14">
        <f>IF($C$6&lt;10000,PMT($C$7/12,2*12,-($O$119)),IF($C$6&lt;20000,PMT($C$7/12,5*12,(0.9)*-($O$119)),IF($C$6&lt;40000,PMT($C$7/12,(20-$O$73)*12,(0.88)*-($O$119)),IF($C$6&lt;60000,PMT($C$7/12,(25-$O$73)*12,(0.89)*-($O$119)),PMT($C$7/12,(30-10)*12,(0.915)*-($O$119))))))</f>
        <v>3776.2892330978311</v>
      </c>
      <c r="Q115" s="14">
        <f>IF($C$6&lt;10000,(PMT($C$7/12,2*12,-($O$119)))+(((P115*12)-((P115*12)-(P119*$C$7)))/12),IF($C$6&lt;20000,PMT($C$7/12,5*12,(0.9)*-($O$119)),IF($C$6&lt;40000,PMT($C$7/12,(20-$O$73)*12,(0.88)*-($O$119)),IF($C$6&lt;60000,PMT($C$7/12,(25-$O$73)*12,(0.89)*-($O$119)),PMT($C$7/12,(30-10)*12,(0.915)*-($O$119))))))</f>
        <v>3776.2892330978311</v>
      </c>
      <c r="R115" s="14">
        <f>IF($C$6&lt;10000,0,IF($C$6&lt;20000,PMT($C$7/12,3*12,(0.94)*-($Q$119)),IF($C$6&lt;40000,PMT($C$7/12,(20-$Q$73)*12,(0.9)*-($Q$119)),IF($C$6&lt;60000,PMT($C$7/12,(25-$Q$73)*12,(0.91)*-($Q$119)),PMT($C$7/12,(30-12)*12,(0.925)*-($Q$119))))))</f>
        <v>3893.069486410755</v>
      </c>
      <c r="S115" s="14">
        <f>IF($C$6&lt;10000,0,IF($C$6&lt;20000,PMT($C$7/12,3*12,(0.94)*-($Q$119)),IF($C$6&lt;40000,PMT($C$7/12,(20-$Q$73)*12,(0.9)*-($Q$119)),IF($C$6&lt;60000,PMT($C$7/12,(25-$Q$73)*12,(0.91)*-($Q$119)),PMT($C$7/12,(30-12)*12,(0.925)*-($Q$119))))))</f>
        <v>3893.069486410755</v>
      </c>
      <c r="T115" s="14">
        <f>IF($C$6&lt;10000,0,IF($C$6&lt;20000,(PMT($C$7/12,12,-($S$119))),IF($C$6&lt;40000,PMT($C$7/12,(20-$S$73)*12,(0.93)*-($S$119)),IF($C$6&lt;60000,PMT($C$7/12,(25-$S$73)*12,(0.92)*-($S$119)),PMT($C$7/12,(30-14)*12,(0.935)*-($S$119))))))</f>
        <v>4009.9354659889441</v>
      </c>
      <c r="U115" s="14">
        <f>IF($C$6&lt;20000,0,IF($C$6&lt;40000,PMT($C$7/12,(20-$S$73)*12,(0.93)*-($S$119)),IF($C$6&lt;60000,PMT($C$7/12,(25-$S$73)*12,(0.92)*-($S$119)),PMT($C$7/12,(30-14)*12,(0.935)*-($S$119)))))</f>
        <v>4009.9354659889441</v>
      </c>
      <c r="V115" s="14">
        <f>IF($C$6&lt;10000,0,IF($C$6&lt;20000,0,IF($C$6&lt;40000,PMT($C$7/12,(20-$U$73)*12,(0.96)*-($U$119)),IF($C$6&lt;60000,PMT($C$7/12,(25-$U$73)*12,(0.94)*-($U$119)),PMT($C$7/12,(30-16)*12,(0.945)*-($U$119))))))</f>
        <v>4127.2758815215693</v>
      </c>
      <c r="W115" s="14">
        <f>IF($C$6&lt;10000,0,IF($C$6&lt;20000,0,IF($C$6&lt;40000,PMT($C$7/12,(20-$U$73)*12,(0.96)*-($U$119)),IF($C$6&lt;60000,PMT($C$7/12,(25-$U$73)*12,(0.94)*-($U$119)),PMT($C$7/12,(30-16)*12,(0.945)*-($U$119))))))</f>
        <v>4127.2758815215693</v>
      </c>
      <c r="X115" s="14">
        <f>IF($C$6&lt;10000,0,IF($C$6&lt;20000,0,IF($C$6&lt;40000,PMT($C$7/12,(20-$W$73)*12,-($W$119)),IF($C$6&lt;60000,PMT($C$7/12,(25-$W$73)*12,(0.96)*-($W$119)),PMT($C$7/12,(30-18)*12,(0.955)*-($W$119))))))</f>
        <v>4245.7788283778345</v>
      </c>
      <c r="Y115" s="14">
        <f>IF($C$6&lt;10000,0,IF($C$6&lt;20000,0,IF($C$6&lt;40000,(PMT($C$7/12,(20-$W$73)*12,-($W$119)))+(((X115*12)-((X115*12)-(X119*$C$7)))/12),IF($C$6&lt;60000,PMT($C$7/12,(25-$W$73)*12,(0.96)*-($W$119)),PMT($C$7/12,(30-18)*12,(0.955)*-($W$119))))))</f>
        <v>4245.7788283778345</v>
      </c>
      <c r="Z115" s="14">
        <f>IF($C$6&lt;40000,0,IF($C$6&lt;60000,PMT($C$7/12,(25-$Y$73)*12,(0.97)*-($Y$119)),PMT($C$7/12,(30-20)*12,(0.965)*-($Y$119))))</f>
        <v>4366.6565617678034</v>
      </c>
      <c r="AA115" s="14">
        <f>IF($C$6&lt;40000,0,IF($C$6&lt;60000,PMT($C$7/12,(25-$Y$73)*12,(0.97)*-($Y$119)),PMT($C$7/12,(30-20)*12,(0.965)*-($Y$119))))</f>
        <v>4366.6565617678034</v>
      </c>
      <c r="AB115" s="14">
        <f>IF($C$6&lt;40000,0,IF($C$6&lt;60000,PMT($C$7/12,(25-$AA$73)*12,(0.98)*-($AA$119)),PMT($C$7/12,(30-22)*12,(0.975)*-($AA$119))))</f>
        <v>4492.1496217477425</v>
      </c>
      <c r="AC115" s="14">
        <f>IF($C$6&lt;40000,0,IF($C$6&lt;60000,PMT($C$7/12,(25-$AA$73)*12,(0.98)*-($AA$119)),PMT($C$7/12,(30-22)*12,(0.975)*-($AA$119))))</f>
        <v>4492.1496217477425</v>
      </c>
      <c r="AD115" s="14">
        <f>IF($C$6&lt;40000,0,IF($C$6&lt;60000,PMT($C$7/12,12,-($AC$119)),PMT($C$7/12,(30-24)*12,(0.985)*-($AC$119))))</f>
        <v>4626.8697235866421</v>
      </c>
      <c r="AE115" s="14">
        <f>IF($C$6&lt;60000,0,PMT($C$7/12,(30-24)*12,(0.985)*-($AC$119)))</f>
        <v>4626.8697235866421</v>
      </c>
      <c r="AF115" s="14"/>
      <c r="AG115" s="14"/>
      <c r="AH115" s="14">
        <f>IF($C$6&lt;60000,0,PMT($C$7/12,(30-28)*12,-($AG$119)))</f>
        <v>0</v>
      </c>
      <c r="AI115" s="14">
        <f>IF($C$6&lt;60000,0,(PMT($C$7/12,(30-28)*12,-($AG$119)))+(((AH115*12)-((AH115*12)-(AH119*$C$7)))/12))</f>
        <v>0</v>
      </c>
    </row>
    <row r="116" spans="1:35" x14ac:dyDescent="0.35">
      <c r="A116" s="1"/>
      <c r="B116" s="1" t="s">
        <v>15</v>
      </c>
      <c r="F116" s="19">
        <f>F115*12</f>
        <v>39267.274171356985</v>
      </c>
      <c r="G116" s="19">
        <f>G115*12</f>
        <v>39267.274171356985</v>
      </c>
      <c r="H116" s="19">
        <f t="shared" ref="H116:N116" si="34">H115*12</f>
        <v>40597.31976370122</v>
      </c>
      <c r="I116" s="19">
        <f t="shared" si="34"/>
        <v>40597.31976370122</v>
      </c>
      <c r="J116" s="19">
        <f t="shared" si="34"/>
        <v>41451.300180201521</v>
      </c>
      <c r="K116" s="19">
        <f t="shared" si="34"/>
        <v>41451.300180201521</v>
      </c>
      <c r="L116" s="19">
        <f t="shared" si="34"/>
        <v>42828.425474116084</v>
      </c>
      <c r="M116" s="19">
        <f t="shared" si="34"/>
        <v>42828.425474116084</v>
      </c>
      <c r="N116" s="19">
        <f t="shared" si="34"/>
        <v>44199.205545898832</v>
      </c>
      <c r="O116" s="19">
        <f>O115*12</f>
        <v>44199.205545898832</v>
      </c>
      <c r="P116" s="19">
        <f t="shared" ref="P116:AI116" si="35">P115*12</f>
        <v>45315.47079717397</v>
      </c>
      <c r="Q116" s="19">
        <f t="shared" si="35"/>
        <v>45315.47079717397</v>
      </c>
      <c r="R116" s="26">
        <f t="shared" si="35"/>
        <v>46716.833836929058</v>
      </c>
      <c r="S116" s="26">
        <f t="shared" si="35"/>
        <v>46716.833836929058</v>
      </c>
      <c r="T116" s="26">
        <f t="shared" si="35"/>
        <v>48119.225591867333</v>
      </c>
      <c r="U116" s="26">
        <f t="shared" si="35"/>
        <v>48119.225591867333</v>
      </c>
      <c r="V116" s="26">
        <f t="shared" si="35"/>
        <v>49527.310578258832</v>
      </c>
      <c r="W116" s="26">
        <f t="shared" si="35"/>
        <v>49527.310578258832</v>
      </c>
      <c r="X116" s="26">
        <f t="shared" si="35"/>
        <v>50949.345940534011</v>
      </c>
      <c r="Y116" s="26">
        <f t="shared" si="35"/>
        <v>50949.345940534011</v>
      </c>
      <c r="Z116" s="26">
        <f t="shared" si="35"/>
        <v>52399.878741213644</v>
      </c>
      <c r="AA116" s="26">
        <f t="shared" si="35"/>
        <v>52399.878741213644</v>
      </c>
      <c r="AB116" s="26">
        <f t="shared" si="35"/>
        <v>53905.795460972906</v>
      </c>
      <c r="AC116" s="1">
        <f t="shared" si="35"/>
        <v>53905.795460972906</v>
      </c>
      <c r="AD116" s="1">
        <f t="shared" si="35"/>
        <v>55522.436683039705</v>
      </c>
      <c r="AE116" s="1">
        <f t="shared" si="35"/>
        <v>55522.436683039705</v>
      </c>
      <c r="AH116" s="1">
        <f t="shared" si="35"/>
        <v>0</v>
      </c>
      <c r="AI116" s="1">
        <f t="shared" si="35"/>
        <v>0</v>
      </c>
    </row>
    <row r="117" spans="1:35" x14ac:dyDescent="0.35">
      <c r="A117" s="1"/>
      <c r="B117" s="1" t="s">
        <v>6</v>
      </c>
      <c r="F117" s="19">
        <f>$C$6*$C$7</f>
        <v>40064.999400000001</v>
      </c>
      <c r="G117" s="19">
        <f t="shared" ref="G117:P117" si="36">IF(G115=0,0,F119*$C$7)</f>
        <v>40125.861232141171</v>
      </c>
      <c r="H117" s="19">
        <f t="shared" si="36"/>
        <v>40191.366470907298</v>
      </c>
      <c r="I117" s="19">
        <f t="shared" si="36"/>
        <v>40160.39457698186</v>
      </c>
      <c r="J117" s="19">
        <f t="shared" si="36"/>
        <v>40127.059706255008</v>
      </c>
      <c r="K117" s="19">
        <f t="shared" si="36"/>
        <v>40026.027798843767</v>
      </c>
      <c r="L117" s="19">
        <f t="shared" si="36"/>
        <v>39917.287739842257</v>
      </c>
      <c r="M117" s="19">
        <f t="shared" si="36"/>
        <v>39695.184727725449</v>
      </c>
      <c r="N117" s="19">
        <f t="shared" si="36"/>
        <v>39456.136537298938</v>
      </c>
      <c r="O117" s="19">
        <f t="shared" si="36"/>
        <v>39094.267739033123</v>
      </c>
      <c r="P117" s="19">
        <f t="shared" si="36"/>
        <v>38704.790439410717</v>
      </c>
      <c r="Q117" s="19">
        <f>IF(Q115=0,0,P119*$C$7)</f>
        <v>38200.433671156701</v>
      </c>
      <c r="R117" s="19">
        <f>IF(R115=0,0,Q119*$C$7)</f>
        <v>37657.597391579031</v>
      </c>
      <c r="S117" s="19">
        <f t="shared" ref="S117:AI117" si="37">IF(S115=0,0,R119*$C$7)</f>
        <v>36966.429921795068</v>
      </c>
      <c r="T117" s="19">
        <f t="shared" si="37"/>
        <v>36222.530362042016</v>
      </c>
      <c r="U117" s="19">
        <f t="shared" si="37"/>
        <v>35314.881158889824</v>
      </c>
      <c r="V117" s="19">
        <f t="shared" si="37"/>
        <v>34337.98355859307</v>
      </c>
      <c r="W117" s="19">
        <f t="shared" si="37"/>
        <v>33179.125548071432</v>
      </c>
      <c r="X117" s="19">
        <f t="shared" si="37"/>
        <v>31931.853357855627</v>
      </c>
      <c r="Y117" s="19">
        <f t="shared" si="37"/>
        <v>30480.928403054197</v>
      </c>
      <c r="Z117" s="19">
        <f t="shared" si="37"/>
        <v>28919.306245910589</v>
      </c>
      <c r="AA117" s="19">
        <f t="shared" si="37"/>
        <v>27127.874045353834</v>
      </c>
      <c r="AB117" s="19">
        <f t="shared" si="37"/>
        <v>25199.765904300588</v>
      </c>
      <c r="AC117" s="19">
        <f t="shared" si="37"/>
        <v>23009.661480388284</v>
      </c>
      <c r="AD117" s="19">
        <f t="shared" si="37"/>
        <v>20652.464725641068</v>
      </c>
      <c r="AE117" s="19">
        <f t="shared" si="37"/>
        <v>17992.087061958013</v>
      </c>
      <c r="AF117" s="19"/>
      <c r="AG117" s="19"/>
      <c r="AH117" s="19">
        <f t="shared" si="37"/>
        <v>0</v>
      </c>
      <c r="AI117" s="19">
        <f t="shared" si="37"/>
        <v>0</v>
      </c>
    </row>
    <row r="118" spans="1:35" x14ac:dyDescent="0.35">
      <c r="A118" s="1"/>
      <c r="B118" s="1" t="s">
        <v>14</v>
      </c>
      <c r="F118" s="19">
        <f>F116-F117</f>
        <v>-797.72522864301573</v>
      </c>
      <c r="G118" s="19">
        <f>G116-G117</f>
        <v>-858.58706078418618</v>
      </c>
      <c r="H118" s="19">
        <f t="shared" ref="H118:N118" si="38">H116-H117</f>
        <v>405.95329279392172</v>
      </c>
      <c r="I118" s="19">
        <f t="shared" si="38"/>
        <v>436.92518671935977</v>
      </c>
      <c r="J118" s="19">
        <f t="shared" si="38"/>
        <v>1324.2404739465128</v>
      </c>
      <c r="K118" s="19">
        <f t="shared" si="38"/>
        <v>1425.2723813577541</v>
      </c>
      <c r="L118" s="19">
        <f t="shared" si="38"/>
        <v>2911.1377342738269</v>
      </c>
      <c r="M118" s="19">
        <f t="shared" si="38"/>
        <v>3133.2407463906347</v>
      </c>
      <c r="N118" s="19">
        <f t="shared" si="38"/>
        <v>4743.069008599894</v>
      </c>
      <c r="O118" s="19">
        <f>O116-O117</f>
        <v>5104.9378068657097</v>
      </c>
      <c r="P118" s="19">
        <f t="shared" ref="P118:AI118" si="39">P116-P117</f>
        <v>6610.6803577632527</v>
      </c>
      <c r="Q118" s="19">
        <f t="shared" si="39"/>
        <v>7115.0371260172687</v>
      </c>
      <c r="R118" s="19">
        <f t="shared" si="39"/>
        <v>9059.2364453500268</v>
      </c>
      <c r="S118" s="19">
        <f t="shared" si="39"/>
        <v>9750.4039151339894</v>
      </c>
      <c r="T118" s="19">
        <f t="shared" si="39"/>
        <v>11896.695229825316</v>
      </c>
      <c r="U118" s="19">
        <f t="shared" si="39"/>
        <v>12804.344432977508</v>
      </c>
      <c r="V118" s="19">
        <f t="shared" si="39"/>
        <v>15189.327019665761</v>
      </c>
      <c r="W118" s="19">
        <f t="shared" si="39"/>
        <v>16348.1850301874</v>
      </c>
      <c r="X118" s="19">
        <f t="shared" si="39"/>
        <v>19017.492582678384</v>
      </c>
      <c r="Y118" s="19">
        <f t="shared" si="39"/>
        <v>20468.417537479814</v>
      </c>
      <c r="Z118" s="19">
        <f t="shared" si="39"/>
        <v>23480.572495303055</v>
      </c>
      <c r="AA118" s="19">
        <f t="shared" si="39"/>
        <v>25272.00469585981</v>
      </c>
      <c r="AB118" s="19">
        <f t="shared" si="39"/>
        <v>28706.029556672318</v>
      </c>
      <c r="AC118" s="19">
        <f t="shared" si="39"/>
        <v>30896.133980584622</v>
      </c>
      <c r="AD118" s="19">
        <f t="shared" si="39"/>
        <v>34869.971957398637</v>
      </c>
      <c r="AE118" s="19">
        <f t="shared" si="39"/>
        <v>37530.349621081696</v>
      </c>
      <c r="AF118" s="19"/>
      <c r="AG118" s="19"/>
      <c r="AH118" s="19">
        <f t="shared" si="39"/>
        <v>0</v>
      </c>
      <c r="AI118" s="19">
        <f t="shared" si="39"/>
        <v>0</v>
      </c>
    </row>
    <row r="119" spans="1:35" x14ac:dyDescent="0.35">
      <c r="A119" s="1"/>
      <c r="B119" s="1" t="s">
        <v>8</v>
      </c>
      <c r="F119" s="19">
        <f>$C$6-F118</f>
        <v>525935.72522864304</v>
      </c>
      <c r="G119" s="19">
        <f t="shared" ref="G119:Q119" si="40">IF(G115=0,0,F119-G118)</f>
        <v>526794.31228942727</v>
      </c>
      <c r="H119" s="19">
        <f t="shared" si="40"/>
        <v>526388.35899663332</v>
      </c>
      <c r="I119" s="19">
        <f t="shared" si="40"/>
        <v>525951.43380991393</v>
      </c>
      <c r="J119" s="19">
        <f t="shared" si="40"/>
        <v>524627.19333596737</v>
      </c>
      <c r="K119" s="19">
        <f t="shared" si="40"/>
        <v>523201.92095460964</v>
      </c>
      <c r="L119" s="19">
        <f t="shared" si="40"/>
        <v>520290.78322033584</v>
      </c>
      <c r="M119" s="19">
        <f t="shared" si="40"/>
        <v>517157.54247394518</v>
      </c>
      <c r="N119" s="19">
        <f t="shared" si="40"/>
        <v>512414.47346534528</v>
      </c>
      <c r="O119" s="19">
        <f t="shared" si="40"/>
        <v>507309.53565847955</v>
      </c>
      <c r="P119" s="19">
        <f t="shared" si="40"/>
        <v>500698.8553007163</v>
      </c>
      <c r="Q119" s="19">
        <f t="shared" si="40"/>
        <v>493583.81817469903</v>
      </c>
      <c r="R119" s="19">
        <f>IF(R115=0,0,Q119-R118)</f>
        <v>484524.58172934898</v>
      </c>
      <c r="S119" s="19">
        <f t="shared" ref="S119:AI119" si="41">IF(S115=0,0,R119-S118)</f>
        <v>474774.17781421501</v>
      </c>
      <c r="T119" s="19">
        <f t="shared" si="41"/>
        <v>462877.48258438968</v>
      </c>
      <c r="U119" s="19">
        <f t="shared" si="41"/>
        <v>450073.13815141219</v>
      </c>
      <c r="V119" s="19">
        <f t="shared" si="41"/>
        <v>434883.81113174645</v>
      </c>
      <c r="W119" s="19">
        <f t="shared" si="41"/>
        <v>418535.62610155903</v>
      </c>
      <c r="X119" s="19">
        <f t="shared" si="41"/>
        <v>399518.13351888064</v>
      </c>
      <c r="Y119" s="19">
        <f t="shared" si="41"/>
        <v>379049.7159814008</v>
      </c>
      <c r="Z119" s="19">
        <f t="shared" si="41"/>
        <v>355569.14348609775</v>
      </c>
      <c r="AA119" s="19">
        <f t="shared" si="41"/>
        <v>330297.13879023795</v>
      </c>
      <c r="AB119" s="19">
        <f t="shared" si="41"/>
        <v>301591.10923356563</v>
      </c>
      <c r="AC119" s="19">
        <f t="shared" si="41"/>
        <v>270694.97525298101</v>
      </c>
      <c r="AD119" s="19">
        <f t="shared" si="41"/>
        <v>235825.00329558237</v>
      </c>
      <c r="AE119" s="19">
        <f t="shared" si="41"/>
        <v>198294.65367450067</v>
      </c>
      <c r="AF119" s="19"/>
      <c r="AG119" s="19"/>
      <c r="AH119" s="19">
        <f t="shared" si="41"/>
        <v>0</v>
      </c>
      <c r="AI119" s="19">
        <f t="shared" si="41"/>
        <v>0</v>
      </c>
    </row>
    <row r="120" spans="1:35" ht="16" thickBot="1" x14ac:dyDescent="0.4">
      <c r="A120" s="1"/>
      <c r="F120" s="19"/>
      <c r="G120" s="19"/>
      <c r="H120" s="19"/>
      <c r="I120" s="19"/>
      <c r="J120" s="19"/>
      <c r="K120" s="19"/>
      <c r="L120" s="19"/>
      <c r="M120" s="19"/>
      <c r="N120" s="19"/>
      <c r="O120" s="19"/>
      <c r="P120" s="19"/>
      <c r="Q120" s="19"/>
      <c r="R120" s="19"/>
      <c r="S120" s="19"/>
      <c r="T120" s="19"/>
      <c r="U120" s="19"/>
      <c r="V120" s="19"/>
      <c r="W120" s="19"/>
      <c r="X120" s="19"/>
      <c r="Y120" s="19"/>
    </row>
    <row r="121" spans="1:35" x14ac:dyDescent="0.35">
      <c r="A121" s="1"/>
      <c r="B121" s="85" t="s">
        <v>76</v>
      </c>
      <c r="C121" s="86"/>
      <c r="D121" s="86"/>
      <c r="E121" s="86"/>
      <c r="F121" s="223">
        <f t="shared" ref="F121:AD121" si="42">MAX(0,F76-F77)+N("Annual income minus exemption")</f>
        <v>59945</v>
      </c>
      <c r="G121" s="223">
        <f t="shared" si="42"/>
        <v>84801.859499999991</v>
      </c>
      <c r="H121" s="223">
        <f t="shared" si="42"/>
        <v>157667.59617345</v>
      </c>
      <c r="I121" s="223">
        <f t="shared" si="42"/>
        <v>330981.93083740358</v>
      </c>
      <c r="J121" s="223">
        <f t="shared" si="42"/>
        <v>341004.57730142243</v>
      </c>
      <c r="K121" s="223">
        <f t="shared" si="42"/>
        <v>351330.24219168816</v>
      </c>
      <c r="L121" s="223">
        <f t="shared" si="42"/>
        <v>579513.62477069953</v>
      </c>
      <c r="M121" s="223">
        <f t="shared" si="42"/>
        <v>596999.41675244411</v>
      </c>
      <c r="N121" s="223">
        <f t="shared" si="42"/>
        <v>615012.30211293045</v>
      </c>
      <c r="O121" s="223">
        <f t="shared" si="42"/>
        <v>633568.15689596499</v>
      </c>
      <c r="P121" s="223">
        <f t="shared" si="42"/>
        <v>652683.33501405374</v>
      </c>
      <c r="Q121" s="223">
        <f t="shared" si="42"/>
        <v>672374.68262430653</v>
      </c>
      <c r="R121" s="223">
        <f t="shared" si="42"/>
        <v>692659.55293661868</v>
      </c>
      <c r="S121" s="223">
        <f t="shared" si="42"/>
        <v>713555.82146712299</v>
      </c>
      <c r="T121" s="223">
        <f t="shared" si="42"/>
        <v>735081.90175029694</v>
      </c>
      <c r="U121" s="223">
        <f t="shared" si="42"/>
        <v>757256.76152350905</v>
      </c>
      <c r="V121" s="223">
        <f t="shared" si="42"/>
        <v>780099.93939820712</v>
      </c>
      <c r="W121" s="223">
        <f t="shared" si="42"/>
        <v>803631.56203237397</v>
      </c>
      <c r="X121" s="223">
        <f t="shared" si="42"/>
        <v>827872.3618193164</v>
      </c>
      <c r="Y121" s="223">
        <f t="shared" si="42"/>
        <v>852843.69510830904</v>
      </c>
      <c r="Z121" s="223">
        <f t="shared" si="42"/>
        <v>878567.56097307533</v>
      </c>
      <c r="AA121" s="223">
        <f t="shared" si="42"/>
        <v>905066.62054457352</v>
      </c>
      <c r="AB121" s="223">
        <f t="shared" si="42"/>
        <v>932364.21692504862</v>
      </c>
      <c r="AC121" s="223">
        <f t="shared" si="42"/>
        <v>960484.39570081781</v>
      </c>
      <c r="AD121" s="224">
        <f t="shared" si="42"/>
        <v>989451.92607178737</v>
      </c>
      <c r="AE121" s="19"/>
      <c r="AF121" s="19"/>
      <c r="AG121" s="19"/>
      <c r="AH121" s="19">
        <f t="shared" ref="AH121:AI121" si="43">AH76-AH77+N("Annual income minus exemption")</f>
        <v>0</v>
      </c>
      <c r="AI121" s="19">
        <f t="shared" si="43"/>
        <v>0</v>
      </c>
    </row>
    <row r="122" spans="1:35" ht="16" thickBot="1" x14ac:dyDescent="0.4">
      <c r="A122" s="1"/>
      <c r="B122" s="88" t="s">
        <v>77</v>
      </c>
      <c r="C122" s="89"/>
      <c r="D122" s="89"/>
      <c r="E122" s="89"/>
      <c r="F122" s="225">
        <f>F121*$C$11+N("Income minus poverty rate for family size multiplied by the percentage of share of income you must pay")</f>
        <v>8991.75</v>
      </c>
      <c r="G122" s="225">
        <f t="shared" ref="G122:AD122" si="44">G121*$C$11+N("Income minus exemption multiplied by the percentage of share of income you must pay")</f>
        <v>12720.278924999999</v>
      </c>
      <c r="H122" s="225">
        <f t="shared" si="44"/>
        <v>23650.1394260175</v>
      </c>
      <c r="I122" s="225">
        <f t="shared" si="44"/>
        <v>49647.289625610538</v>
      </c>
      <c r="J122" s="225">
        <f t="shared" si="44"/>
        <v>51150.686595213359</v>
      </c>
      <c r="K122" s="225">
        <f t="shared" si="44"/>
        <v>52699.536328753224</v>
      </c>
      <c r="L122" s="225">
        <f t="shared" si="44"/>
        <v>86927.04371560493</v>
      </c>
      <c r="M122" s="225">
        <f t="shared" si="44"/>
        <v>89549.91251286662</v>
      </c>
      <c r="N122" s="225">
        <f t="shared" si="44"/>
        <v>92251.845316939565</v>
      </c>
      <c r="O122" s="225">
        <f t="shared" si="44"/>
        <v>95035.22353439474</v>
      </c>
      <c r="P122" s="225">
        <f t="shared" si="44"/>
        <v>97902.500252108061</v>
      </c>
      <c r="Q122" s="225">
        <f t="shared" si="44"/>
        <v>100856.20239364597</v>
      </c>
      <c r="R122" s="225">
        <f t="shared" si="44"/>
        <v>103898.9329404928</v>
      </c>
      <c r="S122" s="225">
        <f t="shared" si="44"/>
        <v>107033.37322006845</v>
      </c>
      <c r="T122" s="225">
        <f t="shared" si="44"/>
        <v>110262.28526254454</v>
      </c>
      <c r="U122" s="225">
        <f t="shared" si="44"/>
        <v>113588.51422852636</v>
      </c>
      <c r="V122" s="225">
        <f t="shared" si="44"/>
        <v>117014.99090973106</v>
      </c>
      <c r="W122" s="225">
        <f t="shared" si="44"/>
        <v>120544.73430485609</v>
      </c>
      <c r="X122" s="225">
        <f t="shared" si="44"/>
        <v>124180.85427289746</v>
      </c>
      <c r="Y122" s="225">
        <f t="shared" si="44"/>
        <v>127926.55426624636</v>
      </c>
      <c r="Z122" s="225">
        <f t="shared" si="44"/>
        <v>131785.13414596129</v>
      </c>
      <c r="AA122" s="225">
        <f t="shared" si="44"/>
        <v>135759.99308168603</v>
      </c>
      <c r="AB122" s="225">
        <f t="shared" si="44"/>
        <v>139854.63253875729</v>
      </c>
      <c r="AC122" s="225">
        <f t="shared" si="44"/>
        <v>144072.65935512265</v>
      </c>
      <c r="AD122" s="226">
        <f t="shared" si="44"/>
        <v>148417.78891076811</v>
      </c>
      <c r="AE122" s="19"/>
      <c r="AF122" s="19"/>
      <c r="AG122" s="19"/>
      <c r="AH122" s="19"/>
      <c r="AI122" s="19"/>
    </row>
    <row r="123" spans="1:35" x14ac:dyDescent="0.35">
      <c r="A123" s="1"/>
      <c r="C123" s="91"/>
      <c r="E123" s="96" t="s">
        <v>79</v>
      </c>
      <c r="F123" s="14">
        <f t="shared" ref="F123:AD123" si="45">MAX(0,F121*0.1)</f>
        <v>5994.5</v>
      </c>
      <c r="G123" s="14">
        <f t="shared" si="45"/>
        <v>8480.1859499999991</v>
      </c>
      <c r="H123" s="14">
        <f t="shared" si="45"/>
        <v>15766.759617345</v>
      </c>
      <c r="I123" s="14">
        <f t="shared" si="45"/>
        <v>33098.193083740356</v>
      </c>
      <c r="J123" s="14">
        <f t="shared" si="45"/>
        <v>34100.457730142247</v>
      </c>
      <c r="K123" s="14">
        <f t="shared" si="45"/>
        <v>35133.024219168816</v>
      </c>
      <c r="L123" s="14">
        <f t="shared" si="45"/>
        <v>57951.362477069953</v>
      </c>
      <c r="M123" s="14">
        <f t="shared" si="45"/>
        <v>59699.941675244416</v>
      </c>
      <c r="N123" s="14">
        <f t="shared" si="45"/>
        <v>61501.230211293048</v>
      </c>
      <c r="O123" s="14">
        <f t="shared" si="45"/>
        <v>63356.8156895965</v>
      </c>
      <c r="P123" s="14">
        <f t="shared" si="45"/>
        <v>65268.333501405374</v>
      </c>
      <c r="Q123" s="14">
        <f t="shared" si="45"/>
        <v>67237.468262430659</v>
      </c>
      <c r="R123" s="14">
        <f t="shared" si="45"/>
        <v>69265.955293661871</v>
      </c>
      <c r="S123" s="14">
        <f t="shared" si="45"/>
        <v>71355.582146712302</v>
      </c>
      <c r="T123" s="14">
        <f t="shared" si="45"/>
        <v>73508.190175029697</v>
      </c>
      <c r="U123" s="193">
        <f t="shared" si="45"/>
        <v>75725.676152350905</v>
      </c>
      <c r="V123" s="14">
        <f t="shared" si="45"/>
        <v>78009.993939820721</v>
      </c>
      <c r="W123" s="14">
        <f t="shared" si="45"/>
        <v>80363.156203237406</v>
      </c>
      <c r="X123" s="14">
        <f t="shared" si="45"/>
        <v>82787.236181931643</v>
      </c>
      <c r="Y123" s="14">
        <f t="shared" si="45"/>
        <v>85284.369510830904</v>
      </c>
      <c r="Z123" s="14">
        <f t="shared" si="45"/>
        <v>87856.756097307545</v>
      </c>
      <c r="AA123" s="14">
        <f t="shared" si="45"/>
        <v>90506.662054457352</v>
      </c>
      <c r="AB123" s="14">
        <f t="shared" si="45"/>
        <v>93236.421692504868</v>
      </c>
      <c r="AC123" s="14">
        <f t="shared" si="45"/>
        <v>96048.439570081784</v>
      </c>
      <c r="AD123" s="14">
        <f t="shared" si="45"/>
        <v>98945.192607178746</v>
      </c>
    </row>
    <row r="124" spans="1:35" x14ac:dyDescent="0.35">
      <c r="A124" s="1"/>
      <c r="B124" s="9"/>
      <c r="C124" s="91"/>
      <c r="E124" s="96" t="s">
        <v>52</v>
      </c>
      <c r="F124" s="80">
        <f>$D$85*$C$7</f>
        <v>40064.999400000001</v>
      </c>
      <c r="G124" s="80">
        <f t="shared" ref="G124:AD124" si="46">$D$85*$C$7</f>
        <v>40064.999400000001</v>
      </c>
      <c r="H124" s="80">
        <f t="shared" si="46"/>
        <v>40064.999400000001</v>
      </c>
      <c r="I124" s="80">
        <f t="shared" si="46"/>
        <v>40064.999400000001</v>
      </c>
      <c r="J124" s="80">
        <f t="shared" si="46"/>
        <v>40064.999400000001</v>
      </c>
      <c r="K124" s="80">
        <f t="shared" si="46"/>
        <v>40064.999400000001</v>
      </c>
      <c r="L124" s="80">
        <f t="shared" si="46"/>
        <v>40064.999400000001</v>
      </c>
      <c r="M124" s="80">
        <f t="shared" si="46"/>
        <v>40064.999400000001</v>
      </c>
      <c r="N124" s="80">
        <f t="shared" si="46"/>
        <v>40064.999400000001</v>
      </c>
      <c r="O124" s="80">
        <f t="shared" si="46"/>
        <v>40064.999400000001</v>
      </c>
      <c r="P124" s="80">
        <f t="shared" si="46"/>
        <v>40064.999400000001</v>
      </c>
      <c r="Q124" s="80">
        <f t="shared" si="46"/>
        <v>40064.999400000001</v>
      </c>
      <c r="R124" s="80">
        <f t="shared" si="46"/>
        <v>40064.999400000001</v>
      </c>
      <c r="S124" s="80">
        <f t="shared" si="46"/>
        <v>40064.999400000001</v>
      </c>
      <c r="T124" s="80">
        <f t="shared" si="46"/>
        <v>40064.999400000001</v>
      </c>
      <c r="U124" s="194">
        <f t="shared" si="46"/>
        <v>40064.999400000001</v>
      </c>
      <c r="V124" s="80">
        <f t="shared" si="46"/>
        <v>40064.999400000001</v>
      </c>
      <c r="W124" s="80">
        <f t="shared" si="46"/>
        <v>40064.999400000001</v>
      </c>
      <c r="X124" s="80">
        <f t="shared" si="46"/>
        <v>40064.999400000001</v>
      </c>
      <c r="Y124" s="80">
        <f t="shared" si="46"/>
        <v>40064.999400000001</v>
      </c>
      <c r="Z124" s="80">
        <f t="shared" si="46"/>
        <v>40064.999400000001</v>
      </c>
      <c r="AA124" s="80">
        <f t="shared" si="46"/>
        <v>40064.999400000001</v>
      </c>
      <c r="AB124" s="80">
        <f t="shared" si="46"/>
        <v>40064.999400000001</v>
      </c>
      <c r="AC124" s="80">
        <f t="shared" si="46"/>
        <v>40064.999400000001</v>
      </c>
      <c r="AD124" s="80">
        <f t="shared" si="46"/>
        <v>40064.999400000001</v>
      </c>
    </row>
    <row r="125" spans="1:35" x14ac:dyDescent="0.35">
      <c r="A125" s="1"/>
      <c r="C125" s="91"/>
      <c r="E125" s="96" t="s">
        <v>81</v>
      </c>
      <c r="F125" s="14">
        <f>((($C$22*$C$7)-((F127*12)*C28))/2)+N("CNAPP equals the annual interest on unsubs minus the the percentage of the annual IBR payment that would be put towards unsubs")</f>
        <v>15110.869665221715</v>
      </c>
      <c r="G125" s="19">
        <f>IF(
F125=-$C$6+N("IF the principal payment from the previous year equals the original loan balance then"),
0+N("The CAN/PP euals zero, because you have paid of the loan")+N("if CAN/PP does not equal the original loan balance, then..."),
IF(
$C$7=0+N("If the interest rate is zero, then"),
(-(G127*12))+F125+N("CNAPP equals the last year's CNAPP minus whatever the annual IBR payment was")+N("If the interest rate is not zero, then..."),
IF(
G124=0+N("If the annual interest paid equals zero, then..."),
0+N("CNAPP equals zero")+N("If the annual interest rate does not equal zero, then..."),
((($C$22*$C$7)-((G127*12)*$C$28)))/2)+F125+N("CNAPP equals the previous CNAPP plus the annual interest on unsubs minus the the percentage of the annual IBR payment that would be put towards unsubs")))</f>
        <v>29119.293605238629</v>
      </c>
      <c r="H125" s="19">
        <f>IF(
G125=-$C$6+N("IF the principal payment from the previous year equals the original loan balance then"),
0+N("The CAN/PP euals zero, because you have paid of the loan")+N("if CAN/PP does not equal the original loan balance, then..."),
IF(
$C$7=0+N("If the interest rate is zero, then"),
(-(H127*12))+G125+N("CNAPP equals the last year's CNAPP minus whatever the annual IBR payment was")+N("If the interest rate is not zero, then..."),
IF(
H124=0+N("If the annual interest paid equals zero, then..."),
0+N("CNAPP equals zero")+N("If the annual interest rate does not equal zero, then..."),
((($C$22*$C$7)-((H127*12)*$C$28)))/2)+G125+N("CNAPP equals the previous CNAPP plus the annual interest on unsubs minus the the percentage of the annual IBR payment that would be put towards unsubs")))</f>
        <v>39895.993122886583</v>
      </c>
      <c r="I125" s="19">
        <f>IF(
H125=-$C6+N("IF the principal payment from the previous year equals the original loan balance then"),
0+N("The CAN/PP euals zero, because you have paid of the loan")+N("if CAN/PP does not equal the original loan balance, then..."),
IF(
$C7=0+N("If the interest rate is zero, then"),
(-(I127*12))+H125+N("CNAPP equals the last year's CNAPP minus whatever the annual IBR payment was")+N("If the interest rate is not zero, then..."),
IF(
I124=0+N("If the annual interest paid equals zero, then..."),
0+N("CNAPP equals zero")+N("If the annual interest rate does not equal zero, then..."),
(I124-(I127*12))/2)+H125+N("CNAPP equals the previous CNAPP plus the annual interest minus the annual IBR payment")))</f>
        <v>43379.396281016408</v>
      </c>
      <c r="J125" s="19">
        <f>IF(
I125=-$C6+N("IF the principal payment from the previous year equals the original loan balance then"),
0+N("The CAN/PP euals zero, because you have paid of the loan")+N("if CAN/PP does not equal the original loan balance, then..."),
IF(
$C7=0+N("If the interest rate is zero, then"),
(-(J127*12))+I125+N("CNAPP equals the last year's CNAPP minus whatever the annual IBR payment was")+N("If the interest rate is not zero, then..."),
IF(
J124=0+N("If the annual interest paid equals zero, then..."),
0+N("CNAPP equals zero")+N("If the annual interest rate does not equal zero, then..."),
(J124-(J127*12))/2)+I125+N("CNAPP equals the previous CNAPP plus the annual interest minus the annual IBR payment")))</f>
        <v>46361.667115945282</v>
      </c>
      <c r="K125" s="19">
        <f t="shared" ref="K125:AD125" si="47">IF(
J125=-$C6+N("IF the principal payment from the previous year equals the original loan balance then"),
0+N("The CAN/PP euals zero, because you have paid of the loan")+N("if CAN/PP does not equal the original loan balance, then..."),
IF(
$C7=0+N("If the interest rate is zero, then"),
(-(K127*12))+J125+N("CNAPP equals the last year's CNAPP minus whatever the annual IBR payment was")+N("If the interest rate is not zero, then..."),
IF(
K124=0+N("If the annual interest paid equals zero, then..."),
0+N("CNAPP equals zero")+N("If the annual interest rate does not equal zero, then..."),
(K124-(K127*12))/2)+J125+N("CNAPP equals the previous CNAPP plus the annual interest minus the annual IBR payment")))</f>
        <v>48827.654706360874</v>
      </c>
      <c r="L125" s="19">
        <f t="shared" si="47"/>
        <v>39884.473167825898</v>
      </c>
      <c r="M125" s="19">
        <f t="shared" si="47"/>
        <v>30067.00203020369</v>
      </c>
      <c r="N125" s="19">
        <f t="shared" si="47"/>
        <v>19348.886624557166</v>
      </c>
      <c r="O125" s="19">
        <f t="shared" si="47"/>
        <v>7702.9784797589164</v>
      </c>
      <c r="P125" s="19">
        <f t="shared" si="47"/>
        <v>-4898.6885709437702</v>
      </c>
      <c r="Q125" s="19">
        <f t="shared" si="47"/>
        <v>-18484.923002159099</v>
      </c>
      <c r="R125" s="19">
        <f t="shared" si="47"/>
        <v>-33085.400948990035</v>
      </c>
      <c r="S125" s="19">
        <f t="shared" si="47"/>
        <v>-48730.692322346185</v>
      </c>
      <c r="T125" s="19">
        <f t="shared" si="47"/>
        <v>-65452.287709861033</v>
      </c>
      <c r="U125" s="19">
        <f t="shared" si="47"/>
        <v>-83282.626086036486</v>
      </c>
      <c r="V125" s="19">
        <f t="shared" si="47"/>
        <v>-102255.12335594685</v>
      </c>
      <c r="W125" s="19">
        <f t="shared" si="47"/>
        <v>-122404.20175756555</v>
      </c>
      <c r="X125" s="19">
        <f t="shared" si="47"/>
        <v>-143765.32014853138</v>
      </c>
      <c r="Y125" s="19">
        <f t="shared" si="47"/>
        <v>-166375.00520394684</v>
      </c>
      <c r="Z125" s="19">
        <f t="shared" si="47"/>
        <v>-190270.88355260063</v>
      </c>
      <c r="AA125" s="19">
        <f t="shared" si="47"/>
        <v>-215491.71487982932</v>
      </c>
      <c r="AB125" s="19">
        <f t="shared" si="47"/>
        <v>-242077.42602608175</v>
      </c>
      <c r="AC125" s="19">
        <f t="shared" si="47"/>
        <v>-270069.14611112262</v>
      </c>
      <c r="AD125" s="19">
        <f t="shared" si="47"/>
        <v>-299509.24271471199</v>
      </c>
    </row>
    <row r="126" spans="1:35" x14ac:dyDescent="0.35">
      <c r="A126" s="1"/>
      <c r="C126" s="91"/>
      <c r="E126" s="96" t="s">
        <v>82</v>
      </c>
      <c r="F126" s="19">
        <f>$C$6+F125</f>
        <v>540248.86966522166</v>
      </c>
      <c r="G126" s="19">
        <f t="shared" ref="G126:AD126" si="48">$C$6+G125</f>
        <v>554257.29360523866</v>
      </c>
      <c r="H126" s="19">
        <f t="shared" si="48"/>
        <v>565033.99312288663</v>
      </c>
      <c r="I126" s="19">
        <f t="shared" si="48"/>
        <v>568517.39628101641</v>
      </c>
      <c r="J126" s="19">
        <f t="shared" si="48"/>
        <v>571499.66711594525</v>
      </c>
      <c r="K126" s="19">
        <f t="shared" si="48"/>
        <v>573965.65470636089</v>
      </c>
      <c r="L126" s="19">
        <f t="shared" si="48"/>
        <v>565022.47316782596</v>
      </c>
      <c r="M126" s="19">
        <f t="shared" si="48"/>
        <v>555205.0020302037</v>
      </c>
      <c r="N126" s="19">
        <f t="shared" si="48"/>
        <v>544486.8866245572</v>
      </c>
      <c r="O126" s="19">
        <f t="shared" si="48"/>
        <v>532840.97847975895</v>
      </c>
      <c r="P126" s="19">
        <f t="shared" si="48"/>
        <v>520239.31142905622</v>
      </c>
      <c r="Q126" s="19">
        <f t="shared" si="48"/>
        <v>506653.07699784089</v>
      </c>
      <c r="R126" s="19">
        <f t="shared" si="48"/>
        <v>492052.59905100998</v>
      </c>
      <c r="S126" s="19">
        <f t="shared" si="48"/>
        <v>476407.30767765379</v>
      </c>
      <c r="T126" s="19">
        <f t="shared" si="48"/>
        <v>459685.71229013894</v>
      </c>
      <c r="U126" s="19">
        <f t="shared" si="48"/>
        <v>441855.3739139635</v>
      </c>
      <c r="V126" s="19">
        <f t="shared" si="48"/>
        <v>422882.87664405315</v>
      </c>
      <c r="W126" s="19">
        <f t="shared" si="48"/>
        <v>402733.79824243445</v>
      </c>
      <c r="X126" s="19">
        <f t="shared" si="48"/>
        <v>381372.67985146865</v>
      </c>
      <c r="Y126" s="19">
        <f t="shared" si="48"/>
        <v>358762.99479605316</v>
      </c>
      <c r="Z126" s="19">
        <f t="shared" si="48"/>
        <v>334867.11644739937</v>
      </c>
      <c r="AA126" s="19">
        <f t="shared" si="48"/>
        <v>309646.28512017068</v>
      </c>
      <c r="AB126" s="19">
        <f t="shared" si="48"/>
        <v>283060.57397391822</v>
      </c>
      <c r="AC126" s="19">
        <f t="shared" si="48"/>
        <v>255068.85388887738</v>
      </c>
      <c r="AD126" s="19">
        <f t="shared" si="48"/>
        <v>225628.75728528801</v>
      </c>
    </row>
    <row r="127" spans="1:35" ht="16" thickBot="1" x14ac:dyDescent="0.4">
      <c r="A127" s="1"/>
      <c r="C127" s="88"/>
      <c r="D127" s="89"/>
      <c r="E127" s="109" t="s">
        <v>83</v>
      </c>
      <c r="F127" s="14">
        <f t="shared" ref="F127:AD127" si="49">MAX(0,(F121*0.1)/12)</f>
        <v>499.54166666666669</v>
      </c>
      <c r="G127" s="14">
        <f t="shared" si="49"/>
        <v>706.68216249999989</v>
      </c>
      <c r="H127" s="14">
        <f t="shared" si="49"/>
        <v>1313.89663477875</v>
      </c>
      <c r="I127" s="14">
        <f t="shared" si="49"/>
        <v>2758.1827569783632</v>
      </c>
      <c r="J127" s="14">
        <f t="shared" si="49"/>
        <v>2841.7048108451872</v>
      </c>
      <c r="K127" s="14">
        <f t="shared" si="49"/>
        <v>2927.7520182640678</v>
      </c>
      <c r="L127" s="14">
        <f t="shared" si="49"/>
        <v>4829.2802064224961</v>
      </c>
      <c r="M127" s="14">
        <f t="shared" si="49"/>
        <v>4974.9951396037013</v>
      </c>
      <c r="N127" s="14">
        <f t="shared" si="49"/>
        <v>5125.1025176077537</v>
      </c>
      <c r="O127" s="14">
        <f t="shared" si="49"/>
        <v>5279.7346407997084</v>
      </c>
      <c r="P127" s="14">
        <f t="shared" si="49"/>
        <v>5439.0277917837811</v>
      </c>
      <c r="Q127" s="14">
        <f t="shared" si="49"/>
        <v>5603.1223552025549</v>
      </c>
      <c r="R127" s="14">
        <f t="shared" si="49"/>
        <v>5772.1629411384893</v>
      </c>
      <c r="S127" s="14">
        <f t="shared" si="49"/>
        <v>5946.2985122260252</v>
      </c>
      <c r="T127" s="14">
        <f t="shared" si="49"/>
        <v>6125.6825145858083</v>
      </c>
      <c r="U127" s="14">
        <f t="shared" si="49"/>
        <v>6310.4730126959084</v>
      </c>
      <c r="V127" s="14">
        <f t="shared" si="49"/>
        <v>6500.8328283183937</v>
      </c>
      <c r="W127" s="14">
        <f t="shared" si="49"/>
        <v>6696.9296836031172</v>
      </c>
      <c r="X127" s="14">
        <f t="shared" si="49"/>
        <v>6898.9363484943033</v>
      </c>
      <c r="Y127" s="14">
        <f t="shared" si="49"/>
        <v>7107.0307925692423</v>
      </c>
      <c r="Z127" s="14">
        <f t="shared" si="49"/>
        <v>7321.3963414422951</v>
      </c>
      <c r="AA127" s="14">
        <f t="shared" si="49"/>
        <v>7542.221837871446</v>
      </c>
      <c r="AB127" s="14">
        <f t="shared" si="49"/>
        <v>7769.7018077087387</v>
      </c>
      <c r="AC127" s="14">
        <f t="shared" si="49"/>
        <v>8004.036630840149</v>
      </c>
      <c r="AD127" s="14">
        <f t="shared" si="49"/>
        <v>8245.4327172648955</v>
      </c>
    </row>
    <row r="128" spans="1:35" x14ac:dyDescent="0.35">
      <c r="A128" s="1"/>
      <c r="B128" s="29"/>
      <c r="C128" s="277"/>
      <c r="D128" s="277"/>
      <c r="E128" s="27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row>
    <row r="129" spans="1:32" x14ac:dyDescent="0.35">
      <c r="A129" s="1"/>
      <c r="C129" s="275"/>
      <c r="D129" s="275"/>
      <c r="E129" s="275"/>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row>
    <row r="130" spans="1:32" x14ac:dyDescent="0.35">
      <c r="A130" s="1"/>
      <c r="D130" s="21"/>
      <c r="E130" s="76" t="s">
        <v>138</v>
      </c>
      <c r="F130" s="27">
        <v>1</v>
      </c>
      <c r="G130" s="27">
        <f>F130+1</f>
        <v>2</v>
      </c>
      <c r="H130" s="27">
        <f t="shared" ref="H130:AD130" si="50">G130+1</f>
        <v>3</v>
      </c>
      <c r="I130" s="27">
        <f t="shared" si="50"/>
        <v>4</v>
      </c>
      <c r="J130" s="27">
        <f t="shared" si="50"/>
        <v>5</v>
      </c>
      <c r="K130" s="27">
        <f t="shared" si="50"/>
        <v>6</v>
      </c>
      <c r="L130" s="27">
        <f t="shared" si="50"/>
        <v>7</v>
      </c>
      <c r="M130" s="27">
        <f t="shared" si="50"/>
        <v>8</v>
      </c>
      <c r="N130" s="27">
        <f t="shared" si="50"/>
        <v>9</v>
      </c>
      <c r="O130" s="27">
        <f t="shared" si="50"/>
        <v>10</v>
      </c>
      <c r="P130" s="27">
        <f t="shared" si="50"/>
        <v>11</v>
      </c>
      <c r="Q130" s="27">
        <f t="shared" si="50"/>
        <v>12</v>
      </c>
      <c r="R130" s="27">
        <f t="shared" si="50"/>
        <v>13</v>
      </c>
      <c r="S130" s="27">
        <f t="shared" si="50"/>
        <v>14</v>
      </c>
      <c r="T130" s="27">
        <f t="shared" si="50"/>
        <v>15</v>
      </c>
      <c r="U130" s="27">
        <f t="shared" si="50"/>
        <v>16</v>
      </c>
      <c r="V130" s="27">
        <f t="shared" si="50"/>
        <v>17</v>
      </c>
      <c r="W130" s="27">
        <f t="shared" si="50"/>
        <v>18</v>
      </c>
      <c r="X130" s="27">
        <f t="shared" si="50"/>
        <v>19</v>
      </c>
      <c r="Y130" s="27">
        <f t="shared" si="50"/>
        <v>20</v>
      </c>
      <c r="Z130" s="27">
        <f t="shared" si="50"/>
        <v>21</v>
      </c>
      <c r="AA130" s="27">
        <f t="shared" si="50"/>
        <v>22</v>
      </c>
      <c r="AB130" s="27">
        <f t="shared" si="50"/>
        <v>23</v>
      </c>
      <c r="AC130" s="27">
        <f t="shared" si="50"/>
        <v>24</v>
      </c>
      <c r="AD130" s="27">
        <f t="shared" si="50"/>
        <v>25</v>
      </c>
    </row>
    <row r="131" spans="1:32" x14ac:dyDescent="0.35">
      <c r="A131" s="1"/>
      <c r="D131" s="77"/>
      <c r="E131" s="273" t="s">
        <v>152</v>
      </c>
      <c r="F131" s="83">
        <f>F76</f>
        <v>77600</v>
      </c>
      <c r="G131" s="83">
        <f t="shared" ref="G131:AD131" si="51">G76</f>
        <v>102900</v>
      </c>
      <c r="H131" s="83">
        <f t="shared" si="51"/>
        <v>176220</v>
      </c>
      <c r="I131" s="83">
        <f t="shared" si="51"/>
        <v>350000</v>
      </c>
      <c r="J131" s="83">
        <f t="shared" si="51"/>
        <v>360500</v>
      </c>
      <c r="K131" s="83">
        <f t="shared" si="51"/>
        <v>371315</v>
      </c>
      <c r="L131" s="83">
        <f t="shared" si="51"/>
        <v>600000</v>
      </c>
      <c r="M131" s="83">
        <f t="shared" si="51"/>
        <v>618000</v>
      </c>
      <c r="N131" s="83">
        <f t="shared" si="51"/>
        <v>636540</v>
      </c>
      <c r="O131" s="83">
        <f t="shared" si="51"/>
        <v>655636.20000000007</v>
      </c>
      <c r="P131" s="83">
        <f t="shared" si="51"/>
        <v>675305.28600000008</v>
      </c>
      <c r="Q131" s="83">
        <f t="shared" si="51"/>
        <v>695564.44458000013</v>
      </c>
      <c r="R131" s="83">
        <f t="shared" si="51"/>
        <v>716431.3779174001</v>
      </c>
      <c r="S131" s="83">
        <f t="shared" si="51"/>
        <v>737924.3192549221</v>
      </c>
      <c r="T131" s="83">
        <f t="shared" si="51"/>
        <v>760062.04883256974</v>
      </c>
      <c r="U131" s="83">
        <f t="shared" si="51"/>
        <v>782863.91029754688</v>
      </c>
      <c r="V131" s="83">
        <f t="shared" si="51"/>
        <v>806349.82760647335</v>
      </c>
      <c r="W131" s="83">
        <f t="shared" si="51"/>
        <v>830540.32243466761</v>
      </c>
      <c r="X131" s="83">
        <f t="shared" si="51"/>
        <v>855456.5321077077</v>
      </c>
      <c r="Y131" s="83">
        <f t="shared" si="51"/>
        <v>881120.22807093896</v>
      </c>
      <c r="Z131" s="83">
        <f t="shared" si="51"/>
        <v>907553.83491306717</v>
      </c>
      <c r="AA131" s="83">
        <f t="shared" si="51"/>
        <v>934780.44996045926</v>
      </c>
      <c r="AB131" s="83">
        <f t="shared" si="51"/>
        <v>962823.86345927301</v>
      </c>
      <c r="AC131" s="83">
        <f t="shared" si="51"/>
        <v>991708.57936305122</v>
      </c>
      <c r="AD131" s="83">
        <f t="shared" si="51"/>
        <v>1021459.8367439428</v>
      </c>
    </row>
    <row r="132" spans="1:32" x14ac:dyDescent="0.35">
      <c r="A132" s="1"/>
      <c r="D132" s="8"/>
      <c r="E132" s="83" t="s">
        <v>153</v>
      </c>
      <c r="F132" s="83">
        <f>F108</f>
        <v>75228.125237483313</v>
      </c>
      <c r="G132" s="83">
        <f t="shared" ref="G132:AD132" si="52">G108</f>
        <v>75228.125237483313</v>
      </c>
      <c r="H132" s="83">
        <f t="shared" si="52"/>
        <v>75228.125237483313</v>
      </c>
      <c r="I132" s="83">
        <f t="shared" si="52"/>
        <v>75228.125237483313</v>
      </c>
      <c r="J132" s="83">
        <f t="shared" si="52"/>
        <v>75228.125237483313</v>
      </c>
      <c r="K132" s="83">
        <f t="shared" si="52"/>
        <v>75228.125237483313</v>
      </c>
      <c r="L132" s="83">
        <f t="shared" si="52"/>
        <v>75228.125237483313</v>
      </c>
      <c r="M132" s="83">
        <f t="shared" si="52"/>
        <v>75228.125237483313</v>
      </c>
      <c r="N132" s="83">
        <f t="shared" si="52"/>
        <v>75228.125237483313</v>
      </c>
      <c r="O132" s="83">
        <f t="shared" si="52"/>
        <v>75228.125237483313</v>
      </c>
      <c r="P132" s="83">
        <f t="shared" si="52"/>
        <v>0</v>
      </c>
      <c r="Q132" s="83">
        <f t="shared" si="52"/>
        <v>0</v>
      </c>
      <c r="R132" s="83">
        <f t="shared" si="52"/>
        <v>0</v>
      </c>
      <c r="S132" s="83">
        <f t="shared" si="52"/>
        <v>0</v>
      </c>
      <c r="T132" s="83">
        <f t="shared" si="52"/>
        <v>0</v>
      </c>
      <c r="U132" s="83">
        <f t="shared" si="52"/>
        <v>0</v>
      </c>
      <c r="V132" s="83">
        <f t="shared" si="52"/>
        <v>0</v>
      </c>
      <c r="W132" s="83">
        <f t="shared" si="52"/>
        <v>0</v>
      </c>
      <c r="X132" s="83">
        <f t="shared" si="52"/>
        <v>0</v>
      </c>
      <c r="Y132" s="83">
        <f t="shared" si="52"/>
        <v>0</v>
      </c>
      <c r="Z132" s="83">
        <f t="shared" si="52"/>
        <v>0</v>
      </c>
      <c r="AA132" s="83">
        <f t="shared" si="52"/>
        <v>0</v>
      </c>
      <c r="AB132" s="83">
        <f t="shared" si="52"/>
        <v>0</v>
      </c>
      <c r="AC132" s="83">
        <f t="shared" si="52"/>
        <v>0</v>
      </c>
      <c r="AD132" s="83">
        <f t="shared" si="52"/>
        <v>0</v>
      </c>
    </row>
    <row r="133" spans="1:32" x14ac:dyDescent="0.35">
      <c r="A133" s="1"/>
      <c r="D133" s="22"/>
      <c r="E133" s="83" t="s">
        <v>154</v>
      </c>
      <c r="F133" s="83">
        <f>F131-F132</f>
        <v>2371.874762516687</v>
      </c>
      <c r="G133" s="83">
        <f t="shared" ref="G133:AD133" si="53">G131-G132</f>
        <v>27671.874762516687</v>
      </c>
      <c r="H133" s="83">
        <f t="shared" si="53"/>
        <v>100991.87476251669</v>
      </c>
      <c r="I133" s="83">
        <f t="shared" si="53"/>
        <v>274771.8747625167</v>
      </c>
      <c r="J133" s="83">
        <f t="shared" si="53"/>
        <v>285271.8747625167</v>
      </c>
      <c r="K133" s="83">
        <f t="shared" si="53"/>
        <v>296086.8747625167</v>
      </c>
      <c r="L133" s="83">
        <f t="shared" si="53"/>
        <v>524771.8747625167</v>
      </c>
      <c r="M133" s="83">
        <f t="shared" si="53"/>
        <v>542771.8747625167</v>
      </c>
      <c r="N133" s="83">
        <f t="shared" si="53"/>
        <v>561311.8747625167</v>
      </c>
      <c r="O133" s="83">
        <f t="shared" si="53"/>
        <v>580408.07476251677</v>
      </c>
      <c r="P133" s="83">
        <f t="shared" si="53"/>
        <v>675305.28600000008</v>
      </c>
      <c r="Q133" s="83">
        <f t="shared" si="53"/>
        <v>695564.44458000013</v>
      </c>
      <c r="R133" s="83">
        <f t="shared" si="53"/>
        <v>716431.3779174001</v>
      </c>
      <c r="S133" s="83">
        <f t="shared" si="53"/>
        <v>737924.3192549221</v>
      </c>
      <c r="T133" s="83">
        <f t="shared" si="53"/>
        <v>760062.04883256974</v>
      </c>
      <c r="U133" s="83">
        <f t="shared" si="53"/>
        <v>782863.91029754688</v>
      </c>
      <c r="V133" s="83">
        <f t="shared" si="53"/>
        <v>806349.82760647335</v>
      </c>
      <c r="W133" s="83">
        <f t="shared" si="53"/>
        <v>830540.32243466761</v>
      </c>
      <c r="X133" s="83">
        <f t="shared" si="53"/>
        <v>855456.5321077077</v>
      </c>
      <c r="Y133" s="83">
        <f t="shared" si="53"/>
        <v>881120.22807093896</v>
      </c>
      <c r="Z133" s="83">
        <f t="shared" si="53"/>
        <v>907553.83491306717</v>
      </c>
      <c r="AA133" s="83">
        <f t="shared" si="53"/>
        <v>934780.44996045926</v>
      </c>
      <c r="AB133" s="83">
        <f t="shared" si="53"/>
        <v>962823.86345927301</v>
      </c>
      <c r="AC133" s="83">
        <f t="shared" si="53"/>
        <v>991708.57936305122</v>
      </c>
      <c r="AD133" s="83">
        <f t="shared" si="53"/>
        <v>1021459.8367439428</v>
      </c>
      <c r="AF133" s="8">
        <f>SUM(F133:AD133)</f>
        <v>15756374.809167186</v>
      </c>
    </row>
    <row r="134" spans="1:32" x14ac:dyDescent="0.35">
      <c r="A134" s="1"/>
      <c r="B134" s="9"/>
      <c r="D134" s="30"/>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1" t="s">
        <v>155</v>
      </c>
    </row>
    <row r="135" spans="1:32" x14ac:dyDescent="0.35">
      <c r="A135" s="1"/>
      <c r="E135" s="83" t="s">
        <v>79</v>
      </c>
      <c r="F135" s="112">
        <f>F123</f>
        <v>5994.5</v>
      </c>
      <c r="G135" s="112">
        <f t="shared" ref="G135:AD135" si="54">G123</f>
        <v>8480.1859499999991</v>
      </c>
      <c r="H135" s="112">
        <f t="shared" si="54"/>
        <v>15766.759617345</v>
      </c>
      <c r="I135" s="112">
        <f t="shared" si="54"/>
        <v>33098.193083740356</v>
      </c>
      <c r="J135" s="112">
        <f t="shared" si="54"/>
        <v>34100.457730142247</v>
      </c>
      <c r="K135" s="112">
        <f t="shared" si="54"/>
        <v>35133.024219168816</v>
      </c>
      <c r="L135" s="112">
        <f t="shared" si="54"/>
        <v>57951.362477069953</v>
      </c>
      <c r="M135" s="112">
        <f t="shared" si="54"/>
        <v>59699.941675244416</v>
      </c>
      <c r="N135" s="112">
        <f t="shared" si="54"/>
        <v>61501.230211293048</v>
      </c>
      <c r="O135" s="112">
        <f t="shared" si="54"/>
        <v>63356.8156895965</v>
      </c>
      <c r="P135" s="112">
        <f t="shared" si="54"/>
        <v>65268.333501405374</v>
      </c>
      <c r="Q135" s="112">
        <f t="shared" si="54"/>
        <v>67237.468262430659</v>
      </c>
      <c r="R135" s="112">
        <f t="shared" si="54"/>
        <v>69265.955293661871</v>
      </c>
      <c r="S135" s="112">
        <f t="shared" si="54"/>
        <v>71355.582146712302</v>
      </c>
      <c r="T135" s="112">
        <f t="shared" si="54"/>
        <v>73508.190175029697</v>
      </c>
      <c r="U135" s="112">
        <f t="shared" si="54"/>
        <v>75725.676152350905</v>
      </c>
      <c r="V135" s="112">
        <f t="shared" si="54"/>
        <v>78009.993939820721</v>
      </c>
      <c r="W135" s="112">
        <f t="shared" si="54"/>
        <v>80363.156203237406</v>
      </c>
      <c r="X135" s="112">
        <f t="shared" si="54"/>
        <v>82787.236181931643</v>
      </c>
      <c r="Y135" s="112">
        <f t="shared" si="54"/>
        <v>85284.369510830904</v>
      </c>
      <c r="Z135" s="112">
        <f t="shared" si="54"/>
        <v>87856.756097307545</v>
      </c>
      <c r="AA135" s="112">
        <f t="shared" si="54"/>
        <v>90506.662054457352</v>
      </c>
      <c r="AB135" s="112">
        <f t="shared" si="54"/>
        <v>93236.421692504868</v>
      </c>
      <c r="AC135" s="112">
        <f t="shared" si="54"/>
        <v>96048.439570081784</v>
      </c>
      <c r="AD135" s="112">
        <f t="shared" si="54"/>
        <v>98945.192607178746</v>
      </c>
      <c r="AE135" s="8">
        <f>E43</f>
        <v>89348.987884974063</v>
      </c>
    </row>
    <row r="136" spans="1:32" x14ac:dyDescent="0.35">
      <c r="A136" s="1"/>
      <c r="E136" s="83" t="s">
        <v>154</v>
      </c>
      <c r="F136" s="112">
        <f>F131-F135</f>
        <v>71605.5</v>
      </c>
      <c r="G136" s="112">
        <f t="shared" ref="G136:AC136" si="55">G131-G135</f>
        <v>94419.814050000001</v>
      </c>
      <c r="H136" s="112">
        <f t="shared" si="55"/>
        <v>160453.240382655</v>
      </c>
      <c r="I136" s="112">
        <f t="shared" si="55"/>
        <v>316901.80691625964</v>
      </c>
      <c r="J136" s="112">
        <f t="shared" si="55"/>
        <v>326399.54226985777</v>
      </c>
      <c r="K136" s="112">
        <f t="shared" si="55"/>
        <v>336181.97578083118</v>
      </c>
      <c r="L136" s="112">
        <f t="shared" si="55"/>
        <v>542048.63752293005</v>
      </c>
      <c r="M136" s="112">
        <f t="shared" si="55"/>
        <v>558300.05832475564</v>
      </c>
      <c r="N136" s="112">
        <f t="shared" si="55"/>
        <v>575038.76978870691</v>
      </c>
      <c r="O136" s="112">
        <f t="shared" si="55"/>
        <v>592279.38431040361</v>
      </c>
      <c r="P136" s="112">
        <f t="shared" si="55"/>
        <v>610036.95249859476</v>
      </c>
      <c r="Q136" s="112">
        <f t="shared" si="55"/>
        <v>628326.9763175695</v>
      </c>
      <c r="R136" s="112">
        <f t="shared" si="55"/>
        <v>647165.42262373818</v>
      </c>
      <c r="S136" s="112">
        <f t="shared" si="55"/>
        <v>666568.73710820975</v>
      </c>
      <c r="T136" s="112">
        <f t="shared" si="55"/>
        <v>686553.85865754005</v>
      </c>
      <c r="U136" s="112">
        <f t="shared" si="55"/>
        <v>707138.23414519592</v>
      </c>
      <c r="V136" s="112">
        <f t="shared" si="55"/>
        <v>728339.83366665267</v>
      </c>
      <c r="W136" s="112">
        <f t="shared" si="55"/>
        <v>750177.16623143025</v>
      </c>
      <c r="X136" s="112">
        <f t="shared" si="55"/>
        <v>772669.29592577601</v>
      </c>
      <c r="Y136" s="112">
        <f t="shared" si="55"/>
        <v>795835.85856010811</v>
      </c>
      <c r="Z136" s="112">
        <f t="shared" si="55"/>
        <v>819697.07881575963</v>
      </c>
      <c r="AA136" s="112">
        <f t="shared" si="55"/>
        <v>844273.7879060019</v>
      </c>
      <c r="AB136" s="112">
        <f t="shared" si="55"/>
        <v>869587.44176676811</v>
      </c>
      <c r="AC136" s="112">
        <f t="shared" si="55"/>
        <v>895660.13979296945</v>
      </c>
      <c r="AD136" s="112">
        <f>AD131-AD135-AE135</f>
        <v>833165.65625179</v>
      </c>
      <c r="AE136" s="8"/>
      <c r="AF136" s="8">
        <f>SUM(F136:AD136)</f>
        <v>14828825.169614505</v>
      </c>
    </row>
    <row r="137" spans="1:32" x14ac:dyDescent="0.35">
      <c r="A137" s="1"/>
      <c r="F137" s="79"/>
      <c r="G137" s="79"/>
      <c r="H137" s="79"/>
      <c r="I137" s="79"/>
      <c r="J137" s="79"/>
      <c r="K137" s="79"/>
      <c r="L137" s="79"/>
      <c r="M137" s="79"/>
      <c r="N137" s="79"/>
      <c r="O137" s="79"/>
    </row>
    <row r="138" spans="1:32" x14ac:dyDescent="0.35">
      <c r="A138" s="1"/>
      <c r="F138" s="79"/>
      <c r="G138" s="79"/>
      <c r="H138" s="79"/>
      <c r="I138" s="79"/>
      <c r="J138" s="79"/>
      <c r="K138" s="79"/>
      <c r="L138" s="79"/>
      <c r="M138" s="79"/>
      <c r="N138" s="79"/>
      <c r="O138" s="79"/>
      <c r="AF138" s="8">
        <f>AF133-AF136</f>
        <v>927549.63955268078</v>
      </c>
    </row>
    <row r="139" spans="1:32" x14ac:dyDescent="0.35">
      <c r="A139" s="1"/>
      <c r="F139" s="79"/>
      <c r="G139" s="79"/>
      <c r="H139" s="79"/>
      <c r="I139" s="79"/>
      <c r="J139" s="79"/>
      <c r="K139" s="79"/>
      <c r="L139" s="79"/>
      <c r="M139" s="79"/>
      <c r="N139" s="79"/>
      <c r="O139" s="79"/>
    </row>
    <row r="140" spans="1:32" x14ac:dyDescent="0.35">
      <c r="A140" s="1"/>
      <c r="F140" s="79"/>
      <c r="G140" s="79"/>
      <c r="H140" s="79"/>
      <c r="I140" s="79"/>
      <c r="J140" s="79"/>
      <c r="K140" s="79"/>
      <c r="L140" s="79"/>
      <c r="M140" s="79"/>
      <c r="N140" s="79"/>
      <c r="O140" s="79"/>
    </row>
    <row r="141" spans="1:32" x14ac:dyDescent="0.35">
      <c r="A141" s="1"/>
      <c r="F141" s="79"/>
      <c r="G141" s="79"/>
      <c r="H141" s="79"/>
      <c r="I141" s="79"/>
      <c r="J141" s="79"/>
      <c r="K141" s="79"/>
      <c r="L141" s="79"/>
      <c r="M141" s="79"/>
      <c r="N141" s="79"/>
      <c r="O141" s="79"/>
    </row>
    <row r="142" spans="1:32" x14ac:dyDescent="0.35">
      <c r="A142" s="1"/>
      <c r="F142" s="79"/>
      <c r="G142" s="79"/>
      <c r="H142" s="79"/>
      <c r="I142" s="79"/>
      <c r="J142" s="79"/>
      <c r="K142" s="79"/>
      <c r="L142" s="79"/>
      <c r="M142" s="79"/>
      <c r="N142" s="79"/>
      <c r="O142" s="79"/>
    </row>
    <row r="143" spans="1:32" x14ac:dyDescent="0.35">
      <c r="A143" s="1"/>
    </row>
    <row r="144" spans="1:32" x14ac:dyDescent="0.35">
      <c r="A144" s="1"/>
    </row>
  </sheetData>
  <sheetProtection algorithmName="SHA-512" hashValue="pBfBa9f1iPZEi0/UE/JUOBz26UMkvzv+vqkgi82aM0yELcSJhkZxXFZ0h5fdOf1kU3NAg5DFxjQovaQY4dYxUw==" saltValue="fhqGzgbMe5RNjqaab35iqQ==" spinCount="100000" sheet="1" objects="1" scenarios="1" selectLockedCells="1" selectUnlockedCells="1"/>
  <mergeCells count="12">
    <mergeCell ref="C129:E129"/>
    <mergeCell ref="C73:E73"/>
    <mergeCell ref="C75:E75"/>
    <mergeCell ref="C76:E76"/>
    <mergeCell ref="C96:E96"/>
    <mergeCell ref="C97:E97"/>
    <mergeCell ref="C99:E99"/>
    <mergeCell ref="C100:E100"/>
    <mergeCell ref="C102:E102"/>
    <mergeCell ref="C103:E103"/>
    <mergeCell ref="C104:E104"/>
    <mergeCell ref="C128:E128"/>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80</vt:i4>
      </vt:variant>
    </vt:vector>
  </HeadingPairs>
  <TitlesOfParts>
    <vt:vector size="86" baseType="lpstr">
      <vt:lpstr>Assumptions</vt:lpstr>
      <vt:lpstr>Inventory</vt:lpstr>
      <vt:lpstr>PSLF Projections</vt:lpstr>
      <vt:lpstr>Private Projections</vt:lpstr>
      <vt:lpstr>PSLF Detail</vt:lpstr>
      <vt:lpstr>Private Practice Detail</vt:lpstr>
      <vt:lpstr>'Private Practice Detail'!Annual_Interest_Rate</vt:lpstr>
      <vt:lpstr>'Private Projections'!Annual_Interest_Rate</vt:lpstr>
      <vt:lpstr>'PSLF Projections'!Annual_Interest_Rate</vt:lpstr>
      <vt:lpstr>Annual_Interest_Rate</vt:lpstr>
      <vt:lpstr>'Private Practice Detail'!annualIDR</vt:lpstr>
      <vt:lpstr>'Private Projections'!annualIDR</vt:lpstr>
      <vt:lpstr>'PSLF Projections'!annualIDR</vt:lpstr>
      <vt:lpstr>annualIDR</vt:lpstr>
      <vt:lpstr>'Private Practice Detail'!Discretionary_Income</vt:lpstr>
      <vt:lpstr>'Private Projections'!Discretionary_Income</vt:lpstr>
      <vt:lpstr>'PSLF Projections'!Discretionary_Income</vt:lpstr>
      <vt:lpstr>Discretionary_Income</vt:lpstr>
      <vt:lpstr>'Private Practice Detail'!IBR15_25YearForgiven</vt:lpstr>
      <vt:lpstr>'Private Projections'!IBR15_25YearForgiven</vt:lpstr>
      <vt:lpstr>'PSLF Projections'!IBR15_25YearForgiven</vt:lpstr>
      <vt:lpstr>IBR15_25YearForgiven</vt:lpstr>
      <vt:lpstr>'Private Practice Detail'!IBR15MonthlyPayment</vt:lpstr>
      <vt:lpstr>'Private Projections'!IBR15MonthlyPayment</vt:lpstr>
      <vt:lpstr>'PSLF Projections'!IBR15MonthlyPayment</vt:lpstr>
      <vt:lpstr>IBR15MonthlyPayment</vt:lpstr>
      <vt:lpstr>'Private Practice Detail'!LoanInventory</vt:lpstr>
      <vt:lpstr>'Private Projections'!LoanInventory</vt:lpstr>
      <vt:lpstr>'PSLF Projections'!LoanInventory</vt:lpstr>
      <vt:lpstr>LoanInventory</vt:lpstr>
      <vt:lpstr>'Private Practice Detail'!PAYE_PSLF</vt:lpstr>
      <vt:lpstr>'Private Projections'!PAYE_PSLF</vt:lpstr>
      <vt:lpstr>'PSLF Projections'!PAYE_PSLF</vt:lpstr>
      <vt:lpstr>PAYE_PSLF</vt:lpstr>
      <vt:lpstr>'Private Practice Detail'!PAYE20YearForgiveness</vt:lpstr>
      <vt:lpstr>'Private Projections'!PAYE20YearForgiveness</vt:lpstr>
      <vt:lpstr>'PSLF Projections'!PAYE20YearForgiveness</vt:lpstr>
      <vt:lpstr>PAYE20YearForgiveness</vt:lpstr>
      <vt:lpstr>'Private Practice Detail'!Percentage_Unsub</vt:lpstr>
      <vt:lpstr>'Private Projections'!Percentage_Unsub</vt:lpstr>
      <vt:lpstr>'PSLF Projections'!Percentage_Unsub</vt:lpstr>
      <vt:lpstr>Percentage_Unsub</vt:lpstr>
      <vt:lpstr>'Private Practice Detail'!REPAYE_20YearForgiveness</vt:lpstr>
      <vt:lpstr>'Private Projections'!REPAYE_20YearForgiveness</vt:lpstr>
      <vt:lpstr>'PSLF Projections'!REPAYE_20YearForgiveness</vt:lpstr>
      <vt:lpstr>REPAYE_20YearForgiveness</vt:lpstr>
      <vt:lpstr>'Private Practice Detail'!REPAYE_25YearForgiven</vt:lpstr>
      <vt:lpstr>'Private Projections'!REPAYE_25YearForgiven</vt:lpstr>
      <vt:lpstr>'PSLF Projections'!REPAYE_25YearForgiven</vt:lpstr>
      <vt:lpstr>REPAYE_25YearForgiven</vt:lpstr>
      <vt:lpstr>'Private Practice Detail'!REPAYE_PSLF</vt:lpstr>
      <vt:lpstr>'Private Projections'!REPAYE_PSLF</vt:lpstr>
      <vt:lpstr>'PSLF Projections'!REPAYE_PSLF</vt:lpstr>
      <vt:lpstr>REPAYE_PSLF</vt:lpstr>
      <vt:lpstr>'Private Practice Detail'!SelectedIDRplan</vt:lpstr>
      <vt:lpstr>'Private Projections'!SelectedIDRplan</vt:lpstr>
      <vt:lpstr>'PSLF Projections'!SelectedIDRplan</vt:lpstr>
      <vt:lpstr>SelectedIDRplan</vt:lpstr>
      <vt:lpstr>'Private Practice Detail'!SubRate</vt:lpstr>
      <vt:lpstr>'Private Projections'!SubRate</vt:lpstr>
      <vt:lpstr>'PSLF Projections'!SubRate</vt:lpstr>
      <vt:lpstr>SubRate</vt:lpstr>
      <vt:lpstr>'Private Practice Detail'!SubsidizedBalance</vt:lpstr>
      <vt:lpstr>'Private Projections'!SubsidizedBalance</vt:lpstr>
      <vt:lpstr>'PSLF Projections'!SubsidizedBalance</vt:lpstr>
      <vt:lpstr>SubsidizedBalance</vt:lpstr>
      <vt:lpstr>'Private Practice Detail'!top</vt:lpstr>
      <vt:lpstr>'Private Projections'!top</vt:lpstr>
      <vt:lpstr>'PSLF Detail'!top</vt:lpstr>
      <vt:lpstr>'PSLF Projections'!top</vt:lpstr>
      <vt:lpstr>'Private Practice Detail'!Total_Balance</vt:lpstr>
      <vt:lpstr>'Private Projections'!Total_Balance</vt:lpstr>
      <vt:lpstr>'PSLF Projections'!Total_Balance</vt:lpstr>
      <vt:lpstr>Total_Balance</vt:lpstr>
      <vt:lpstr>'Private Practice Detail'!UnsubRate</vt:lpstr>
      <vt:lpstr>'Private Projections'!UnsubRate</vt:lpstr>
      <vt:lpstr>'PSLF Projections'!UnsubRate</vt:lpstr>
      <vt:lpstr>UnsubRate</vt:lpstr>
      <vt:lpstr>'Private Practice Detail'!UnsubsidizedBalance</vt:lpstr>
      <vt:lpstr>'Private Projections'!UnsubsidizedBalance</vt:lpstr>
      <vt:lpstr>'PSLF Projections'!UnsubsidizedBalance</vt:lpstr>
      <vt:lpstr>UnsubsidizedBalance</vt:lpstr>
      <vt:lpstr>'Private Practice Detail'!WeightedAverageRate</vt:lpstr>
      <vt:lpstr>'Private Projections'!WeightedAverageRate</vt:lpstr>
      <vt:lpstr>'PSLF Projections'!WeightedAverageRate</vt:lpstr>
      <vt:lpstr>WeightedAverageRate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
  <cp:keywords/>
  <cp:lastModifiedBy/>
  <dcterms:created xsi:type="dcterms:W3CDTF">2015-11-18T18:57:24Z</dcterms:created>
  <dcterms:modified xsi:type="dcterms:W3CDTF">2016-02-08T17:33:54Z</dcterms:modified>
</cp:coreProperties>
</file>